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12" i="1" l="1"/>
  <c r="D211" i="1"/>
  <c r="D885" i="1" l="1"/>
  <c r="D884" i="1"/>
  <c r="D883" i="1"/>
  <c r="D882" i="1"/>
  <c r="D881" i="1"/>
  <c r="D880" i="1"/>
  <c r="D878" i="1"/>
  <c r="D877" i="1"/>
  <c r="O877" i="1" s="1"/>
  <c r="D876" i="1"/>
  <c r="D875" i="1"/>
  <c r="M874" i="1"/>
  <c r="L874" i="1"/>
  <c r="K874" i="1"/>
  <c r="J874" i="1"/>
  <c r="I874" i="1"/>
  <c r="H874" i="1"/>
  <c r="G874" i="1"/>
  <c r="F874" i="1"/>
  <c r="E874" i="1"/>
  <c r="D872" i="1"/>
  <c r="D871" i="1"/>
  <c r="D869" i="1"/>
  <c r="D868" i="1"/>
  <c r="D867" i="1"/>
  <c r="D865" i="1"/>
  <c r="D864" i="1"/>
  <c r="O864" i="1" s="1"/>
  <c r="D863" i="1"/>
  <c r="D862" i="1"/>
  <c r="D861" i="1"/>
  <c r="M860" i="1"/>
  <c r="L860" i="1"/>
  <c r="K860" i="1"/>
  <c r="J860" i="1"/>
  <c r="I860" i="1"/>
  <c r="H860" i="1"/>
  <c r="G860" i="1"/>
  <c r="F860" i="1"/>
  <c r="E860" i="1"/>
  <c r="D859" i="1"/>
  <c r="D858" i="1"/>
  <c r="D857" i="1"/>
  <c r="D856" i="1"/>
  <c r="D855" i="1"/>
  <c r="D854" i="1"/>
  <c r="D853" i="1"/>
  <c r="D852" i="1"/>
  <c r="M851" i="1"/>
  <c r="L851" i="1"/>
  <c r="K851" i="1"/>
  <c r="J851" i="1"/>
  <c r="I851" i="1"/>
  <c r="H851" i="1"/>
  <c r="G851" i="1"/>
  <c r="F851" i="1"/>
  <c r="D851" i="1" s="1"/>
  <c r="E851" i="1"/>
  <c r="D850" i="1"/>
  <c r="D849" i="1"/>
  <c r="M848" i="1"/>
  <c r="L848" i="1"/>
  <c r="K848" i="1"/>
  <c r="J848" i="1"/>
  <c r="I848" i="1"/>
  <c r="H848" i="1"/>
  <c r="G848" i="1"/>
  <c r="F848" i="1"/>
  <c r="D848" i="1" s="1"/>
  <c r="E848" i="1"/>
  <c r="D847" i="1"/>
  <c r="D846" i="1"/>
  <c r="M845" i="1"/>
  <c r="L845" i="1"/>
  <c r="K845" i="1"/>
  <c r="J845" i="1"/>
  <c r="I845" i="1"/>
  <c r="H845" i="1"/>
  <c r="G845" i="1"/>
  <c r="F845" i="1"/>
  <c r="D845" i="1" s="1"/>
  <c r="E845" i="1"/>
  <c r="D844" i="1"/>
  <c r="D843" i="1"/>
  <c r="M842" i="1"/>
  <c r="L842" i="1"/>
  <c r="K842" i="1"/>
  <c r="J842" i="1"/>
  <c r="I842" i="1"/>
  <c r="H842" i="1"/>
  <c r="G842" i="1"/>
  <c r="F842" i="1"/>
  <c r="D842" i="1" s="1"/>
  <c r="E842" i="1"/>
  <c r="D841" i="1"/>
  <c r="D840" i="1"/>
  <c r="M839" i="1"/>
  <c r="L839" i="1"/>
  <c r="K839" i="1"/>
  <c r="J839" i="1"/>
  <c r="I839" i="1"/>
  <c r="H839" i="1"/>
  <c r="G839" i="1"/>
  <c r="F839" i="1"/>
  <c r="D839" i="1" s="1"/>
  <c r="E839" i="1"/>
  <c r="D838" i="1"/>
  <c r="D837" i="1"/>
  <c r="M836" i="1"/>
  <c r="L836" i="1"/>
  <c r="K836" i="1"/>
  <c r="J836" i="1"/>
  <c r="I836" i="1"/>
  <c r="H836" i="1"/>
  <c r="G836" i="1"/>
  <c r="F836" i="1"/>
  <c r="D836" i="1" s="1"/>
  <c r="E836" i="1"/>
  <c r="O833" i="1"/>
  <c r="D833" i="1"/>
  <c r="D832" i="1"/>
  <c r="O831" i="1"/>
  <c r="D831" i="1"/>
  <c r="D830" i="1" s="1"/>
  <c r="N829" i="1"/>
  <c r="D829" i="1"/>
  <c r="D828" i="1"/>
  <c r="N827" i="1"/>
  <c r="D827" i="1"/>
  <c r="D826" i="1" s="1"/>
  <c r="D825" i="1"/>
  <c r="O824" i="1"/>
  <c r="D824" i="1"/>
  <c r="D823" i="1"/>
  <c r="D820" i="1"/>
  <c r="D819" i="1"/>
  <c r="O819" i="1" s="1"/>
  <c r="N818" i="1"/>
  <c r="D818" i="1"/>
  <c r="D817" i="1"/>
  <c r="N816" i="1"/>
  <c r="D816" i="1"/>
  <c r="D815" i="1" s="1"/>
  <c r="N814" i="1"/>
  <c r="D814" i="1"/>
  <c r="D813" i="1"/>
  <c r="N812" i="1"/>
  <c r="D812" i="1"/>
  <c r="D811" i="1"/>
  <c r="D810" i="1"/>
  <c r="O810" i="1" s="1"/>
  <c r="D809" i="1"/>
  <c r="O808" i="1"/>
  <c r="D808" i="1"/>
  <c r="D806" i="1"/>
  <c r="D805" i="1"/>
  <c r="D804" i="1"/>
  <c r="D803" i="1"/>
  <c r="D801" i="1"/>
  <c r="O801" i="1" s="1"/>
  <c r="O800" i="1"/>
  <c r="D800" i="1"/>
  <c r="D799" i="1"/>
  <c r="D797" i="1"/>
  <c r="O797" i="1" s="1"/>
  <c r="D796" i="1"/>
  <c r="D795" i="1"/>
  <c r="D794" i="1"/>
  <c r="D793" i="1"/>
  <c r="D791" i="1"/>
  <c r="D790" i="1"/>
  <c r="O790" i="1" s="1"/>
  <c r="D789" i="1"/>
  <c r="D788" i="1"/>
  <c r="D787" i="1"/>
  <c r="D786" i="1"/>
  <c r="D785" i="1"/>
  <c r="D784" i="1"/>
  <c r="D783" i="1"/>
  <c r="M782" i="1"/>
  <c r="L782" i="1"/>
  <c r="K782" i="1"/>
  <c r="J782" i="1"/>
  <c r="I782" i="1"/>
  <c r="H782" i="1"/>
  <c r="G782" i="1"/>
  <c r="F782" i="1"/>
  <c r="E782" i="1"/>
  <c r="G781" i="1"/>
  <c r="F781" i="1"/>
  <c r="G780" i="1"/>
  <c r="D780" i="1" s="1"/>
  <c r="F780" i="1"/>
  <c r="D778" i="1"/>
  <c r="O778" i="1" s="1"/>
  <c r="D777" i="1"/>
  <c r="O777" i="1" s="1"/>
  <c r="O776" i="1"/>
  <c r="D776" i="1"/>
  <c r="D775" i="1"/>
  <c r="O775" i="1" s="1"/>
  <c r="M774" i="1"/>
  <c r="L774" i="1"/>
  <c r="K774" i="1"/>
  <c r="J774" i="1"/>
  <c r="I774" i="1"/>
  <c r="H774" i="1"/>
  <c r="G774" i="1"/>
  <c r="F774" i="1"/>
  <c r="E774" i="1"/>
  <c r="D773" i="1"/>
  <c r="D772" i="1"/>
  <c r="D771" i="1"/>
  <c r="D769" i="1"/>
  <c r="D768" i="1"/>
  <c r="D767" i="1"/>
  <c r="D766" i="1"/>
  <c r="D765" i="1"/>
  <c r="M764" i="1"/>
  <c r="L764" i="1"/>
  <c r="K764" i="1"/>
  <c r="J764" i="1"/>
  <c r="I764" i="1"/>
  <c r="H764" i="1"/>
  <c r="G764" i="1"/>
  <c r="F764" i="1"/>
  <c r="E764" i="1"/>
  <c r="D762" i="1"/>
  <c r="D761" i="1"/>
  <c r="D760" i="1"/>
  <c r="D759" i="1"/>
  <c r="D758" i="1"/>
  <c r="D757" i="1"/>
  <c r="D756" i="1"/>
  <c r="M755" i="1"/>
  <c r="L755" i="1"/>
  <c r="K755" i="1"/>
  <c r="J755" i="1"/>
  <c r="I755" i="1"/>
  <c r="H755" i="1"/>
  <c r="G755" i="1"/>
  <c r="E755" i="1"/>
  <c r="D755" i="1" s="1"/>
  <c r="D754" i="1"/>
  <c r="D753" i="1"/>
  <c r="O753" i="1" s="1"/>
  <c r="D752" i="1"/>
  <c r="D751" i="1"/>
  <c r="O751" i="1" s="1"/>
  <c r="D749" i="1"/>
  <c r="D748" i="1"/>
  <c r="O748" i="1" s="1"/>
  <c r="D747" i="1"/>
  <c r="O747" i="1" s="1"/>
  <c r="M746" i="1"/>
  <c r="L746" i="1"/>
  <c r="K746" i="1"/>
  <c r="J746" i="1"/>
  <c r="I746" i="1"/>
  <c r="H746" i="1"/>
  <c r="G746" i="1"/>
  <c r="F746" i="1"/>
  <c r="E746" i="1"/>
  <c r="O745" i="1"/>
  <c r="D745" i="1"/>
  <c r="O744" i="1"/>
  <c r="D744" i="1"/>
  <c r="D743" i="1"/>
  <c r="N743" i="1" s="1"/>
  <c r="D742" i="1"/>
  <c r="M740" i="1"/>
  <c r="L740" i="1"/>
  <c r="K740" i="1"/>
  <c r="J740" i="1"/>
  <c r="I740" i="1"/>
  <c r="H740" i="1"/>
  <c r="G740" i="1"/>
  <c r="E740" i="1"/>
  <c r="D740" i="1"/>
  <c r="D739" i="1"/>
  <c r="D738" i="1"/>
  <c r="D737" i="1"/>
  <c r="D736" i="1"/>
  <c r="D735" i="1"/>
  <c r="D734" i="1"/>
  <c r="D733" i="1"/>
  <c r="D732" i="1"/>
  <c r="D731" i="1"/>
  <c r="M730" i="1"/>
  <c r="L730" i="1"/>
  <c r="K730" i="1"/>
  <c r="J730" i="1"/>
  <c r="I730" i="1"/>
  <c r="H730" i="1"/>
  <c r="G730" i="1"/>
  <c r="F730" i="1"/>
  <c r="D730" i="1" s="1"/>
  <c r="E730" i="1"/>
  <c r="D729" i="1"/>
  <c r="D728" i="1"/>
  <c r="D727" i="1"/>
  <c r="D726" i="1"/>
  <c r="D725" i="1"/>
  <c r="D724" i="1"/>
  <c r="D723" i="1"/>
  <c r="D722" i="1"/>
  <c r="D721" i="1"/>
  <c r="M720" i="1"/>
  <c r="L720" i="1"/>
  <c r="K720" i="1"/>
  <c r="J720" i="1"/>
  <c r="I720" i="1"/>
  <c r="H720" i="1"/>
  <c r="G720" i="1"/>
  <c r="E720" i="1"/>
  <c r="D719" i="1"/>
  <c r="D718" i="1"/>
  <c r="D717" i="1"/>
  <c r="D716" i="1"/>
  <c r="D715" i="1"/>
  <c r="D714" i="1"/>
  <c r="D713" i="1"/>
  <c r="D712" i="1"/>
  <c r="D711" i="1"/>
  <c r="M710" i="1"/>
  <c r="L710" i="1"/>
  <c r="K710" i="1"/>
  <c r="J710" i="1"/>
  <c r="I710" i="1"/>
  <c r="H710" i="1"/>
  <c r="G710" i="1"/>
  <c r="F710" i="1"/>
  <c r="E710" i="1"/>
  <c r="D709" i="1"/>
  <c r="D708" i="1"/>
  <c r="D707" i="1"/>
  <c r="D706" i="1"/>
  <c r="D705" i="1"/>
  <c r="D704" i="1"/>
  <c r="D703" i="1"/>
  <c r="D702" i="1"/>
  <c r="D701" i="1"/>
  <c r="M700" i="1"/>
  <c r="L700" i="1"/>
  <c r="K700" i="1"/>
  <c r="J700" i="1"/>
  <c r="I700" i="1"/>
  <c r="H700" i="1"/>
  <c r="G700" i="1"/>
  <c r="F700" i="1"/>
  <c r="D700" i="1" s="1"/>
  <c r="E700" i="1"/>
  <c r="D699" i="1"/>
  <c r="D698" i="1"/>
  <c r="D697" i="1"/>
  <c r="D696" i="1"/>
  <c r="D695" i="1"/>
  <c r="D694" i="1"/>
  <c r="D693" i="1"/>
  <c r="D692" i="1"/>
  <c r="D691" i="1"/>
  <c r="M690" i="1"/>
  <c r="L690" i="1"/>
  <c r="K690" i="1"/>
  <c r="J690" i="1"/>
  <c r="I690" i="1"/>
  <c r="H690" i="1"/>
  <c r="G690" i="1"/>
  <c r="F690" i="1"/>
  <c r="E690" i="1"/>
  <c r="D689" i="1"/>
  <c r="D688" i="1"/>
  <c r="D687" i="1"/>
  <c r="D686" i="1"/>
  <c r="D685" i="1"/>
  <c r="D684" i="1"/>
  <c r="D683" i="1"/>
  <c r="D682" i="1"/>
  <c r="D681" i="1"/>
  <c r="D679" i="1"/>
  <c r="D678" i="1"/>
  <c r="D677" i="1"/>
  <c r="D676" i="1"/>
  <c r="D675" i="1"/>
  <c r="D674" i="1"/>
  <c r="D673" i="1"/>
  <c r="D672" i="1"/>
  <c r="D670" i="1"/>
  <c r="M669" i="1"/>
  <c r="L669" i="1"/>
  <c r="K669" i="1"/>
  <c r="J669" i="1"/>
  <c r="I669" i="1"/>
  <c r="H669" i="1"/>
  <c r="G669" i="1"/>
  <c r="F669" i="1"/>
  <c r="E669" i="1"/>
  <c r="D668" i="1"/>
  <c r="D667" i="1"/>
  <c r="D666" i="1"/>
  <c r="D665" i="1"/>
  <c r="D664" i="1"/>
  <c r="D663" i="1"/>
  <c r="D662" i="1"/>
  <c r="D661" i="1"/>
  <c r="D660" i="1"/>
  <c r="M659" i="1"/>
  <c r="L659" i="1"/>
  <c r="K659" i="1"/>
  <c r="J659" i="1"/>
  <c r="I659" i="1"/>
  <c r="H659" i="1"/>
  <c r="G659" i="1"/>
  <c r="F659" i="1"/>
  <c r="D659" i="1" s="1"/>
  <c r="E659" i="1"/>
  <c r="D658" i="1"/>
  <c r="D657" i="1"/>
  <c r="D656" i="1"/>
  <c r="D655" i="1"/>
  <c r="D654" i="1"/>
  <c r="D653" i="1"/>
  <c r="D652" i="1"/>
  <c r="D651" i="1"/>
  <c r="D650" i="1"/>
  <c r="M649" i="1"/>
  <c r="L649" i="1"/>
  <c r="K649" i="1"/>
  <c r="J649" i="1"/>
  <c r="I649" i="1"/>
  <c r="H649" i="1"/>
  <c r="G649" i="1"/>
  <c r="F649" i="1"/>
  <c r="E649" i="1"/>
  <c r="D649" i="1" s="1"/>
  <c r="D648" i="1"/>
  <c r="D647" i="1"/>
  <c r="D646" i="1"/>
  <c r="D645" i="1"/>
  <c r="D644" i="1"/>
  <c r="D643" i="1"/>
  <c r="D642" i="1"/>
  <c r="D641" i="1"/>
  <c r="D640" i="1"/>
  <c r="D639" i="1"/>
  <c r="D638" i="1"/>
  <c r="N744" i="1" s="1"/>
  <c r="D637" i="1"/>
  <c r="N637" i="1" s="1"/>
  <c r="D636" i="1"/>
  <c r="D634" i="1"/>
  <c r="D633" i="1"/>
  <c r="D632" i="1"/>
  <c r="N632" i="1" s="1"/>
  <c r="D629" i="1"/>
  <c r="D628" i="1"/>
  <c r="D627" i="1"/>
  <c r="D626" i="1"/>
  <c r="D625" i="1"/>
  <c r="M624" i="1"/>
  <c r="L624" i="1"/>
  <c r="K624" i="1"/>
  <c r="J624" i="1"/>
  <c r="I624" i="1"/>
  <c r="H624" i="1"/>
  <c r="G624" i="1"/>
  <c r="F624" i="1"/>
  <c r="E624" i="1"/>
  <c r="D624" i="1" s="1"/>
  <c r="D623" i="1"/>
  <c r="O622" i="1"/>
  <c r="D622" i="1"/>
  <c r="D620" i="1"/>
  <c r="D619" i="1"/>
  <c r="D618" i="1"/>
  <c r="D617" i="1"/>
  <c r="D616" i="1"/>
  <c r="D615" i="1"/>
  <c r="D614" i="1"/>
  <c r="M613" i="1"/>
  <c r="L613" i="1"/>
  <c r="K613" i="1"/>
  <c r="J613" i="1"/>
  <c r="I613" i="1"/>
  <c r="H613" i="1"/>
  <c r="G613" i="1"/>
  <c r="F613" i="1"/>
  <c r="E613" i="1"/>
  <c r="D612" i="1"/>
  <c r="D611" i="1"/>
  <c r="D610" i="1"/>
  <c r="D609" i="1"/>
  <c r="D608" i="1"/>
  <c r="M607" i="1"/>
  <c r="L607" i="1"/>
  <c r="K607" i="1"/>
  <c r="J607" i="1"/>
  <c r="I607" i="1"/>
  <c r="H607" i="1"/>
  <c r="G607" i="1"/>
  <c r="F607" i="1"/>
  <c r="E607" i="1"/>
  <c r="D606" i="1"/>
  <c r="D605" i="1"/>
  <c r="D604" i="1"/>
  <c r="M603" i="1"/>
  <c r="L603" i="1"/>
  <c r="K603" i="1"/>
  <c r="J603" i="1"/>
  <c r="I603" i="1"/>
  <c r="H603" i="1"/>
  <c r="G603" i="1"/>
  <c r="F603" i="1"/>
  <c r="E603" i="1"/>
  <c r="D602" i="1"/>
  <c r="D601" i="1"/>
  <c r="D600" i="1"/>
  <c r="M599" i="1"/>
  <c r="L599" i="1"/>
  <c r="L598" i="1" s="1"/>
  <c r="K599" i="1"/>
  <c r="K598" i="1" s="1"/>
  <c r="J599" i="1"/>
  <c r="J598" i="1" s="1"/>
  <c r="I599" i="1"/>
  <c r="H599" i="1"/>
  <c r="H598" i="1" s="1"/>
  <c r="G599" i="1"/>
  <c r="G598" i="1" s="1"/>
  <c r="F599" i="1"/>
  <c r="F598" i="1" s="1"/>
  <c r="E599" i="1"/>
  <c r="M598" i="1"/>
  <c r="I598" i="1"/>
  <c r="E598" i="1"/>
  <c r="D597" i="1"/>
  <c r="D596" i="1"/>
  <c r="D595" i="1"/>
  <c r="D594" i="1"/>
  <c r="D593" i="1"/>
  <c r="D592" i="1"/>
  <c r="D591" i="1"/>
  <c r="M590" i="1"/>
  <c r="L590" i="1"/>
  <c r="K590" i="1"/>
  <c r="J590" i="1"/>
  <c r="I590" i="1"/>
  <c r="H590" i="1"/>
  <c r="G590" i="1"/>
  <c r="F590" i="1"/>
  <c r="E590" i="1"/>
  <c r="D590" i="1" s="1"/>
  <c r="D589" i="1"/>
  <c r="D588" i="1"/>
  <c r="D587" i="1"/>
  <c r="M586" i="1"/>
  <c r="L586" i="1"/>
  <c r="K586" i="1"/>
  <c r="J586" i="1"/>
  <c r="I586" i="1"/>
  <c r="H586" i="1"/>
  <c r="G586" i="1"/>
  <c r="F586" i="1"/>
  <c r="E586" i="1"/>
  <c r="D585" i="1"/>
  <c r="D584" i="1"/>
  <c r="D583" i="1"/>
  <c r="M582" i="1"/>
  <c r="M581" i="1" s="1"/>
  <c r="L582" i="1"/>
  <c r="L581" i="1" s="1"/>
  <c r="K582" i="1"/>
  <c r="K581" i="1" s="1"/>
  <c r="J582" i="1"/>
  <c r="I582" i="1"/>
  <c r="I581" i="1" s="1"/>
  <c r="H582" i="1"/>
  <c r="H581" i="1" s="1"/>
  <c r="G582" i="1"/>
  <c r="G581" i="1" s="1"/>
  <c r="F582" i="1"/>
  <c r="E582" i="1"/>
  <c r="D582" i="1" s="1"/>
  <c r="J581" i="1"/>
  <c r="F581" i="1"/>
  <c r="D580" i="1"/>
  <c r="D578" i="1"/>
  <c r="O578" i="1" s="1"/>
  <c r="D577" i="1"/>
  <c r="O577" i="1" s="1"/>
  <c r="D575" i="1"/>
  <c r="O575" i="1" s="1"/>
  <c r="O574" i="1"/>
  <c r="D574" i="1"/>
  <c r="D573" i="1"/>
  <c r="O573" i="1" s="1"/>
  <c r="M572" i="1"/>
  <c r="L572" i="1"/>
  <c r="K572" i="1"/>
  <c r="J572" i="1"/>
  <c r="I572" i="1"/>
  <c r="H572" i="1"/>
  <c r="G572" i="1"/>
  <c r="F572" i="1"/>
  <c r="E572" i="1"/>
  <c r="D571" i="1"/>
  <c r="O571" i="1" s="1"/>
  <c r="D570" i="1"/>
  <c r="O570" i="1" s="1"/>
  <c r="D569" i="1"/>
  <c r="O569" i="1" s="1"/>
  <c r="O568" i="1"/>
  <c r="D568" i="1"/>
  <c r="D567" i="1"/>
  <c r="O567" i="1" s="1"/>
  <c r="D566" i="1"/>
  <c r="D565" i="1"/>
  <c r="M564" i="1"/>
  <c r="L564" i="1"/>
  <c r="K564" i="1"/>
  <c r="J564" i="1"/>
  <c r="I564" i="1"/>
  <c r="H564" i="1"/>
  <c r="G564" i="1"/>
  <c r="F564" i="1"/>
  <c r="E564" i="1"/>
  <c r="O563" i="1"/>
  <c r="D563" i="1"/>
  <c r="D562" i="1"/>
  <c r="O562" i="1" s="1"/>
  <c r="D561" i="1"/>
  <c r="O561" i="1" s="1"/>
  <c r="D560" i="1"/>
  <c r="O560" i="1" s="1"/>
  <c r="O559" i="1"/>
  <c r="D559" i="1"/>
  <c r="D558" i="1"/>
  <c r="O558" i="1" s="1"/>
  <c r="D557" i="1"/>
  <c r="O557" i="1" s="1"/>
  <c r="D556" i="1"/>
  <c r="O556" i="1" s="1"/>
  <c r="D555" i="1"/>
  <c r="D554" i="1"/>
  <c r="M553" i="1"/>
  <c r="L553" i="1"/>
  <c r="K553" i="1"/>
  <c r="J553" i="1"/>
  <c r="I553" i="1"/>
  <c r="H553" i="1"/>
  <c r="G553" i="1"/>
  <c r="F553" i="1"/>
  <c r="E553" i="1"/>
  <c r="D552" i="1"/>
  <c r="O552" i="1" s="1"/>
  <c r="D551" i="1"/>
  <c r="O551" i="1" s="1"/>
  <c r="O550" i="1"/>
  <c r="D550" i="1"/>
  <c r="D549" i="1"/>
  <c r="O549" i="1" s="1"/>
  <c r="D548" i="1"/>
  <c r="O548" i="1" s="1"/>
  <c r="D547" i="1"/>
  <c r="O547" i="1" s="1"/>
  <c r="M546" i="1"/>
  <c r="L546" i="1"/>
  <c r="K546" i="1"/>
  <c r="J546" i="1"/>
  <c r="I546" i="1"/>
  <c r="H546" i="1"/>
  <c r="G546" i="1"/>
  <c r="F546" i="1"/>
  <c r="E546" i="1"/>
  <c r="D544" i="1"/>
  <c r="D543" i="1"/>
  <c r="D542" i="1"/>
  <c r="D541" i="1"/>
  <c r="D540" i="1"/>
  <c r="M539" i="1"/>
  <c r="L539" i="1"/>
  <c r="K539" i="1"/>
  <c r="J539" i="1"/>
  <c r="I539" i="1"/>
  <c r="H539" i="1"/>
  <c r="G539" i="1"/>
  <c r="F539" i="1"/>
  <c r="E539" i="1"/>
  <c r="D539" i="1" s="1"/>
  <c r="D537" i="1"/>
  <c r="D536" i="1"/>
  <c r="D535" i="1"/>
  <c r="D534" i="1"/>
  <c r="D533" i="1"/>
  <c r="M532" i="1"/>
  <c r="L532" i="1"/>
  <c r="K532" i="1"/>
  <c r="J532" i="1"/>
  <c r="I532" i="1"/>
  <c r="H532" i="1"/>
  <c r="G532" i="1"/>
  <c r="F532" i="1"/>
  <c r="E532" i="1"/>
  <c r="D531" i="1"/>
  <c r="D530" i="1"/>
  <c r="M529" i="1"/>
  <c r="L529" i="1"/>
  <c r="K529" i="1"/>
  <c r="J529" i="1"/>
  <c r="I529" i="1"/>
  <c r="H529" i="1"/>
  <c r="G529" i="1"/>
  <c r="F529" i="1"/>
  <c r="E529" i="1"/>
  <c r="D527" i="1"/>
  <c r="D526" i="1"/>
  <c r="D525" i="1"/>
  <c r="D524" i="1"/>
  <c r="D523" i="1"/>
  <c r="M522" i="1"/>
  <c r="L522" i="1"/>
  <c r="K522" i="1"/>
  <c r="J522" i="1"/>
  <c r="I522" i="1"/>
  <c r="H522" i="1"/>
  <c r="G522" i="1"/>
  <c r="F522" i="1"/>
  <c r="E522" i="1"/>
  <c r="D521" i="1"/>
  <c r="D520" i="1"/>
  <c r="M519" i="1"/>
  <c r="L519" i="1"/>
  <c r="K519" i="1"/>
  <c r="J519" i="1"/>
  <c r="I519" i="1"/>
  <c r="H519" i="1"/>
  <c r="G519" i="1"/>
  <c r="F519" i="1"/>
  <c r="E519" i="1"/>
  <c r="D519" i="1" s="1"/>
  <c r="N519" i="1" s="1"/>
  <c r="M518" i="1"/>
  <c r="L518" i="1"/>
  <c r="K518" i="1"/>
  <c r="J518" i="1"/>
  <c r="I518" i="1"/>
  <c r="H518" i="1"/>
  <c r="G518" i="1"/>
  <c r="F518" i="1"/>
  <c r="E518" i="1"/>
  <c r="D518" i="1" s="1"/>
  <c r="N526" i="1" s="1"/>
  <c r="D512" i="1"/>
  <c r="D509" i="1"/>
  <c r="D507" i="1"/>
  <c r="D506" i="1"/>
  <c r="D505" i="1"/>
  <c r="D504" i="1"/>
  <c r="D503" i="1"/>
  <c r="M502" i="1"/>
  <c r="L502" i="1"/>
  <c r="K502" i="1"/>
  <c r="J502" i="1"/>
  <c r="I502" i="1"/>
  <c r="H502" i="1"/>
  <c r="G502" i="1"/>
  <c r="F502" i="1"/>
  <c r="E502" i="1"/>
  <c r="D501" i="1"/>
  <c r="D500" i="1"/>
  <c r="M499" i="1"/>
  <c r="L499" i="1"/>
  <c r="K499" i="1"/>
  <c r="J499" i="1"/>
  <c r="I499" i="1"/>
  <c r="H499" i="1"/>
  <c r="G499" i="1"/>
  <c r="F499" i="1"/>
  <c r="E499" i="1"/>
  <c r="D499" i="1"/>
  <c r="D497" i="1"/>
  <c r="D496" i="1"/>
  <c r="D495" i="1"/>
  <c r="D494" i="1"/>
  <c r="D493" i="1"/>
  <c r="K492" i="1"/>
  <c r="E492" i="1"/>
  <c r="D491" i="1"/>
  <c r="D490" i="1"/>
  <c r="K489" i="1"/>
  <c r="D489" i="1" s="1"/>
  <c r="E489" i="1"/>
  <c r="D487" i="1"/>
  <c r="D486" i="1"/>
  <c r="D485" i="1"/>
  <c r="D484" i="1"/>
  <c r="D483" i="1"/>
  <c r="M482" i="1"/>
  <c r="L482" i="1"/>
  <c r="K482" i="1"/>
  <c r="J482" i="1"/>
  <c r="I482" i="1"/>
  <c r="H482" i="1"/>
  <c r="G482" i="1"/>
  <c r="F482" i="1"/>
  <c r="E482" i="1"/>
  <c r="D482" i="1" s="1"/>
  <c r="D481" i="1"/>
  <c r="D480" i="1"/>
  <c r="M479" i="1"/>
  <c r="L479" i="1"/>
  <c r="K479" i="1"/>
  <c r="J479" i="1"/>
  <c r="I479" i="1"/>
  <c r="H479" i="1"/>
  <c r="G479" i="1"/>
  <c r="F479" i="1"/>
  <c r="E479" i="1"/>
  <c r="M478" i="1"/>
  <c r="L478" i="1"/>
  <c r="K478" i="1"/>
  <c r="J478" i="1"/>
  <c r="I478" i="1"/>
  <c r="H478" i="1"/>
  <c r="G478" i="1"/>
  <c r="F478" i="1"/>
  <c r="E478" i="1"/>
  <c r="D478" i="1" s="1"/>
  <c r="N487" i="1" s="1"/>
  <c r="N476" i="1"/>
  <c r="D476" i="1"/>
  <c r="D475" i="1"/>
  <c r="N475" i="1" s="1"/>
  <c r="D474" i="1"/>
  <c r="N474" i="1" s="1"/>
  <c r="D473" i="1"/>
  <c r="D471" i="1"/>
  <c r="D470" i="1"/>
  <c r="D469" i="1"/>
  <c r="D468" i="1"/>
  <c r="N467" i="1"/>
  <c r="D467" i="1"/>
  <c r="D466" i="1"/>
  <c r="D465" i="1"/>
  <c r="D464" i="1"/>
  <c r="D463" i="1"/>
  <c r="O463" i="1" s="1"/>
  <c r="D462" i="1"/>
  <c r="D460" i="1"/>
  <c r="D459" i="1"/>
  <c r="D458" i="1"/>
  <c r="D457" i="1"/>
  <c r="D456" i="1"/>
  <c r="M455" i="1"/>
  <c r="L455" i="1"/>
  <c r="K455" i="1"/>
  <c r="J455" i="1"/>
  <c r="I455" i="1"/>
  <c r="H455" i="1"/>
  <c r="G455" i="1"/>
  <c r="F455" i="1"/>
  <c r="E455" i="1"/>
  <c r="D454" i="1"/>
  <c r="D453" i="1"/>
  <c r="D452" i="1"/>
  <c r="D451" i="1"/>
  <c r="D450" i="1"/>
  <c r="M449" i="1"/>
  <c r="L449" i="1"/>
  <c r="K449" i="1"/>
  <c r="J449" i="1"/>
  <c r="I449" i="1"/>
  <c r="H449" i="1"/>
  <c r="G449" i="1"/>
  <c r="F449" i="1"/>
  <c r="E449" i="1"/>
  <c r="D449" i="1" s="1"/>
  <c r="D448" i="1"/>
  <c r="D447" i="1"/>
  <c r="D446" i="1"/>
  <c r="D445" i="1"/>
  <c r="D444" i="1"/>
  <c r="D443" i="1"/>
  <c r="M442" i="1"/>
  <c r="L442" i="1"/>
  <c r="K442" i="1"/>
  <c r="J442" i="1"/>
  <c r="I442" i="1"/>
  <c r="H442" i="1"/>
  <c r="G442" i="1"/>
  <c r="F442" i="1"/>
  <c r="E442" i="1"/>
  <c r="D441" i="1"/>
  <c r="N441" i="1" s="1"/>
  <c r="D440" i="1"/>
  <c r="N440" i="1" s="1"/>
  <c r="D439" i="1"/>
  <c r="N439" i="1" s="1"/>
  <c r="N438" i="1"/>
  <c r="D438" i="1"/>
  <c r="D437" i="1"/>
  <c r="N437" i="1" s="1"/>
  <c r="M436" i="1"/>
  <c r="M528" i="1" s="1"/>
  <c r="L436" i="1"/>
  <c r="L528" i="1" s="1"/>
  <c r="K436" i="1"/>
  <c r="K528" i="1" s="1"/>
  <c r="J436" i="1"/>
  <c r="J528" i="1" s="1"/>
  <c r="I436" i="1"/>
  <c r="I528" i="1" s="1"/>
  <c r="H436" i="1"/>
  <c r="H528" i="1" s="1"/>
  <c r="G436" i="1"/>
  <c r="G528" i="1" s="1"/>
  <c r="F436" i="1"/>
  <c r="F528" i="1" s="1"/>
  <c r="E436" i="1"/>
  <c r="D435" i="1"/>
  <c r="D434" i="1"/>
  <c r="D433" i="1"/>
  <c r="D432" i="1"/>
  <c r="D431" i="1"/>
  <c r="M430" i="1"/>
  <c r="L430" i="1"/>
  <c r="K430" i="1"/>
  <c r="J430" i="1"/>
  <c r="I430" i="1"/>
  <c r="H430" i="1"/>
  <c r="G430" i="1"/>
  <c r="F430" i="1"/>
  <c r="E430" i="1"/>
  <c r="D430" i="1"/>
  <c r="N430" i="1" s="1"/>
  <c r="D428" i="1"/>
  <c r="O427" i="1"/>
  <c r="D427" i="1"/>
  <c r="D426" i="1"/>
  <c r="D425" i="1"/>
  <c r="D424" i="1"/>
  <c r="D423" i="1"/>
  <c r="D422" i="1"/>
  <c r="D421" i="1"/>
  <c r="M420" i="1"/>
  <c r="M671" i="1" s="1"/>
  <c r="M680" i="1" s="1"/>
  <c r="L420" i="1"/>
  <c r="L671" i="1" s="1"/>
  <c r="L680" i="1" s="1"/>
  <c r="K420" i="1"/>
  <c r="K671" i="1" s="1"/>
  <c r="K680" i="1" s="1"/>
  <c r="J420" i="1"/>
  <c r="J671" i="1" s="1"/>
  <c r="J680" i="1" s="1"/>
  <c r="I420" i="1"/>
  <c r="I671" i="1" s="1"/>
  <c r="I680" i="1" s="1"/>
  <c r="H420" i="1"/>
  <c r="H671" i="1" s="1"/>
  <c r="H680" i="1" s="1"/>
  <c r="G420" i="1"/>
  <c r="G671" i="1" s="1"/>
  <c r="G680" i="1" s="1"/>
  <c r="F420" i="1"/>
  <c r="F671" i="1" s="1"/>
  <c r="F680" i="1" s="1"/>
  <c r="E420" i="1"/>
  <c r="D419" i="1"/>
  <c r="D418" i="1"/>
  <c r="D417" i="1"/>
  <c r="D416" i="1"/>
  <c r="D415" i="1"/>
  <c r="D414" i="1"/>
  <c r="D413" i="1"/>
  <c r="O412" i="1"/>
  <c r="D412" i="1"/>
  <c r="D411" i="1"/>
  <c r="D410" i="1"/>
  <c r="M409" i="1"/>
  <c r="L409" i="1"/>
  <c r="K409" i="1"/>
  <c r="J409" i="1"/>
  <c r="I409" i="1"/>
  <c r="H409" i="1"/>
  <c r="G409" i="1"/>
  <c r="F409" i="1"/>
  <c r="E409" i="1"/>
  <c r="D407" i="1"/>
  <c r="O406" i="1"/>
  <c r="D406" i="1"/>
  <c r="D405" i="1"/>
  <c r="D404" i="1"/>
  <c r="D402" i="1"/>
  <c r="O402" i="1" s="1"/>
  <c r="D401" i="1"/>
  <c r="O401" i="1" s="1"/>
  <c r="O400" i="1"/>
  <c r="D400" i="1"/>
  <c r="D399" i="1"/>
  <c r="N400" i="1" s="1"/>
  <c r="L397" i="1"/>
  <c r="K397" i="1"/>
  <c r="J397" i="1"/>
  <c r="I397" i="1"/>
  <c r="H397" i="1"/>
  <c r="E397" i="1"/>
  <c r="L396" i="1"/>
  <c r="H396" i="1"/>
  <c r="N394" i="1"/>
  <c r="D394" i="1"/>
  <c r="O394" i="1" s="1"/>
  <c r="O393" i="1"/>
  <c r="D393" i="1"/>
  <c r="N393" i="1" s="1"/>
  <c r="M392" i="1"/>
  <c r="G392" i="1"/>
  <c r="F392" i="1"/>
  <c r="N391" i="1"/>
  <c r="D391" i="1"/>
  <c r="O391" i="1" s="1"/>
  <c r="D390" i="1"/>
  <c r="O390" i="1" s="1"/>
  <c r="M389" i="1"/>
  <c r="M397" i="1" s="1"/>
  <c r="G389" i="1"/>
  <c r="G397" i="1" s="1"/>
  <c r="F389" i="1"/>
  <c r="F397" i="1" s="1"/>
  <c r="D387" i="1"/>
  <c r="D386" i="1"/>
  <c r="D385" i="1"/>
  <c r="D384" i="1"/>
  <c r="O383" i="1"/>
  <c r="D383" i="1"/>
  <c r="O382" i="1"/>
  <c r="D382" i="1"/>
  <c r="D381" i="1"/>
  <c r="M380" i="1"/>
  <c r="L380" i="1"/>
  <c r="K380" i="1"/>
  <c r="J380" i="1"/>
  <c r="I380" i="1"/>
  <c r="H380" i="1"/>
  <c r="G380" i="1"/>
  <c r="F380" i="1"/>
  <c r="E380" i="1"/>
  <c r="D379" i="1"/>
  <c r="O379" i="1" s="1"/>
  <c r="D374" i="1"/>
  <c r="D508" i="1" s="1"/>
  <c r="N373" i="1"/>
  <c r="D373" i="1"/>
  <c r="N372" i="1"/>
  <c r="D372" i="1"/>
  <c r="D371" i="1"/>
  <c r="O369" i="1"/>
  <c r="D369" i="1"/>
  <c r="D368" i="1"/>
  <c r="M367" i="1"/>
  <c r="L367" i="1"/>
  <c r="K367" i="1"/>
  <c r="J367" i="1"/>
  <c r="I367" i="1"/>
  <c r="H367" i="1"/>
  <c r="G367" i="1"/>
  <c r="F367" i="1"/>
  <c r="E367" i="1"/>
  <c r="D366" i="1"/>
  <c r="D365" i="1"/>
  <c r="D364" i="1"/>
  <c r="D363" i="1"/>
  <c r="D362" i="1"/>
  <c r="M361" i="1"/>
  <c r="L361" i="1"/>
  <c r="K361" i="1"/>
  <c r="J361" i="1"/>
  <c r="I361" i="1"/>
  <c r="H361" i="1"/>
  <c r="G361" i="1"/>
  <c r="F361" i="1"/>
  <c r="E361" i="1"/>
  <c r="D360" i="1"/>
  <c r="D359" i="1"/>
  <c r="D358" i="1"/>
  <c r="M357" i="1"/>
  <c r="L357" i="1"/>
  <c r="K357" i="1"/>
  <c r="J357" i="1"/>
  <c r="I357" i="1"/>
  <c r="H357" i="1"/>
  <c r="G357" i="1"/>
  <c r="F357" i="1"/>
  <c r="E357" i="1"/>
  <c r="O356" i="1"/>
  <c r="D356" i="1"/>
  <c r="O355" i="1"/>
  <c r="D355" i="1"/>
  <c r="D354" i="1"/>
  <c r="D353" i="1"/>
  <c r="O352" i="1"/>
  <c r="D352" i="1"/>
  <c r="D351" i="1"/>
  <c r="D350" i="1"/>
  <c r="D349" i="1"/>
  <c r="D348" i="1"/>
  <c r="O348" i="1" s="1"/>
  <c r="M347" i="1"/>
  <c r="M498" i="1" s="1"/>
  <c r="L347" i="1"/>
  <c r="L498" i="1" s="1"/>
  <c r="K347" i="1"/>
  <c r="K398" i="1" s="1"/>
  <c r="J347" i="1"/>
  <c r="J498" i="1" s="1"/>
  <c r="I347" i="1"/>
  <c r="I498" i="1" s="1"/>
  <c r="H347" i="1"/>
  <c r="H498" i="1" s="1"/>
  <c r="G347" i="1"/>
  <c r="G398" i="1" s="1"/>
  <c r="F347" i="1"/>
  <c r="F498" i="1" s="1"/>
  <c r="E347" i="1"/>
  <c r="E498" i="1" s="1"/>
  <c r="D347" i="1"/>
  <c r="N346" i="1"/>
  <c r="D346" i="1"/>
  <c r="O346" i="1" s="1"/>
  <c r="D345" i="1"/>
  <c r="O345" i="1" s="1"/>
  <c r="D344" i="1"/>
  <c r="D343" i="1"/>
  <c r="D342" i="1"/>
  <c r="O342" i="1" s="1"/>
  <c r="D341" i="1"/>
  <c r="D340" i="1"/>
  <c r="D339" i="1"/>
  <c r="O338" i="1"/>
  <c r="D338" i="1"/>
  <c r="M337" i="1"/>
  <c r="M396" i="1" s="1"/>
  <c r="L337" i="1"/>
  <c r="K337" i="1"/>
  <c r="K396" i="1" s="1"/>
  <c r="J337" i="1"/>
  <c r="J396" i="1" s="1"/>
  <c r="I337" i="1"/>
  <c r="I396" i="1" s="1"/>
  <c r="H337" i="1"/>
  <c r="G337" i="1"/>
  <c r="G396" i="1" s="1"/>
  <c r="F337" i="1"/>
  <c r="F396" i="1" s="1"/>
  <c r="E337" i="1"/>
  <c r="D336" i="1"/>
  <c r="O336" i="1" s="1"/>
  <c r="D335" i="1"/>
  <c r="D334" i="1"/>
  <c r="D333" i="1"/>
  <c r="D332" i="1"/>
  <c r="M331" i="1"/>
  <c r="L331" i="1"/>
  <c r="K331" i="1"/>
  <c r="J331" i="1"/>
  <c r="I331" i="1"/>
  <c r="H331" i="1"/>
  <c r="G331" i="1"/>
  <c r="F331" i="1"/>
  <c r="E331" i="1"/>
  <c r="D330" i="1"/>
  <c r="D329" i="1"/>
  <c r="D328" i="1"/>
  <c r="D327" i="1"/>
  <c r="M326" i="1"/>
  <c r="L326" i="1"/>
  <c r="K326" i="1"/>
  <c r="J326" i="1"/>
  <c r="I326" i="1"/>
  <c r="H326" i="1"/>
  <c r="G326" i="1"/>
  <c r="F326" i="1"/>
  <c r="E326" i="1"/>
  <c r="D324" i="1"/>
  <c r="D323" i="1"/>
  <c r="D322" i="1"/>
  <c r="D321" i="1"/>
  <c r="D320" i="1"/>
  <c r="D319" i="1"/>
  <c r="M318" i="1"/>
  <c r="L318" i="1"/>
  <c r="K318" i="1"/>
  <c r="J318" i="1"/>
  <c r="I318" i="1"/>
  <c r="H318" i="1"/>
  <c r="G318" i="1"/>
  <c r="F318" i="1"/>
  <c r="D318" i="1" s="1"/>
  <c r="E318" i="1"/>
  <c r="D317" i="1"/>
  <c r="D315" i="1"/>
  <c r="D311" i="1"/>
  <c r="D310" i="1"/>
  <c r="D309" i="1"/>
  <c r="K308" i="1"/>
  <c r="E308" i="1"/>
  <c r="D307" i="1"/>
  <c r="N377" i="1" s="1"/>
  <c r="D306" i="1"/>
  <c r="N313" i="1" s="1"/>
  <c r="D305" i="1"/>
  <c r="N312" i="1" s="1"/>
  <c r="K304" i="1"/>
  <c r="K488" i="1" s="1"/>
  <c r="E304" i="1"/>
  <c r="E488" i="1" s="1"/>
  <c r="D303" i="1"/>
  <c r="D302" i="1"/>
  <c r="M301" i="1"/>
  <c r="L301" i="1"/>
  <c r="K301" i="1"/>
  <c r="J301" i="1"/>
  <c r="I301" i="1"/>
  <c r="H301" i="1"/>
  <c r="G301" i="1"/>
  <c r="F301" i="1"/>
  <c r="E301" i="1"/>
  <c r="D300" i="1"/>
  <c r="D299" i="1"/>
  <c r="D298" i="1"/>
  <c r="D296" i="1"/>
  <c r="D295" i="1"/>
  <c r="O294" i="1"/>
  <c r="D294" i="1"/>
  <c r="D293" i="1"/>
  <c r="O293" i="1" s="1"/>
  <c r="D292" i="1"/>
  <c r="N291" i="1"/>
  <c r="D291" i="1"/>
  <c r="O291" i="1" s="1"/>
  <c r="M290" i="1"/>
  <c r="L290" i="1"/>
  <c r="K290" i="1"/>
  <c r="J290" i="1"/>
  <c r="I290" i="1"/>
  <c r="H290" i="1"/>
  <c r="G290" i="1"/>
  <c r="F290" i="1"/>
  <c r="E290" i="1"/>
  <c r="D289" i="1"/>
  <c r="N317" i="1" s="1"/>
  <c r="D288" i="1"/>
  <c r="D287" i="1"/>
  <c r="M286" i="1"/>
  <c r="L286" i="1"/>
  <c r="K286" i="1"/>
  <c r="J286" i="1"/>
  <c r="I286" i="1"/>
  <c r="H286" i="1"/>
  <c r="G286" i="1"/>
  <c r="F286" i="1"/>
  <c r="E286" i="1"/>
  <c r="D285" i="1"/>
  <c r="O285" i="1" s="1"/>
  <c r="D284" i="1"/>
  <c r="D283" i="1"/>
  <c r="D282" i="1"/>
  <c r="D281" i="1"/>
  <c r="D280" i="1"/>
  <c r="M279" i="1"/>
  <c r="L279" i="1"/>
  <c r="K279" i="1"/>
  <c r="J279" i="1"/>
  <c r="I279" i="1"/>
  <c r="H279" i="1"/>
  <c r="G279" i="1"/>
  <c r="F279" i="1"/>
  <c r="E279" i="1"/>
  <c r="D278" i="1"/>
  <c r="O278" i="1" s="1"/>
  <c r="D277" i="1"/>
  <c r="D276" i="1"/>
  <c r="D275" i="1"/>
  <c r="D274" i="1"/>
  <c r="D273" i="1"/>
  <c r="M272" i="1"/>
  <c r="L272" i="1"/>
  <c r="K272" i="1"/>
  <c r="J272" i="1"/>
  <c r="I272" i="1"/>
  <c r="H272" i="1"/>
  <c r="G272" i="1"/>
  <c r="F272" i="1"/>
  <c r="E272" i="1"/>
  <c r="D271" i="1"/>
  <c r="D270" i="1"/>
  <c r="D269" i="1"/>
  <c r="K268" i="1"/>
  <c r="E268" i="1"/>
  <c r="D268" i="1"/>
  <c r="D267" i="1"/>
  <c r="D266" i="1"/>
  <c r="D265" i="1"/>
  <c r="M264" i="1"/>
  <c r="L264" i="1"/>
  <c r="K264" i="1"/>
  <c r="J264" i="1"/>
  <c r="I264" i="1"/>
  <c r="H264" i="1"/>
  <c r="G264" i="1"/>
  <c r="F264" i="1"/>
  <c r="E264" i="1"/>
  <c r="D263" i="1"/>
  <c r="D262" i="1"/>
  <c r="K261" i="1"/>
  <c r="D261" i="1" s="1"/>
  <c r="E261" i="1"/>
  <c r="D260" i="1"/>
  <c r="O260" i="1" s="1"/>
  <c r="D259" i="1"/>
  <c r="D258" i="1"/>
  <c r="O258" i="1" s="1"/>
  <c r="M257" i="1"/>
  <c r="L257" i="1"/>
  <c r="K257" i="1"/>
  <c r="O257" i="1" s="1"/>
  <c r="J257" i="1"/>
  <c r="I257" i="1"/>
  <c r="H257" i="1"/>
  <c r="G257" i="1"/>
  <c r="F257" i="1"/>
  <c r="N257" i="1" s="1"/>
  <c r="E257" i="1"/>
  <c r="D256" i="1"/>
  <c r="M255" i="1"/>
  <c r="L255" i="1"/>
  <c r="K255" i="1"/>
  <c r="J255" i="1"/>
  <c r="I255" i="1"/>
  <c r="H255" i="1"/>
  <c r="G255" i="1"/>
  <c r="F255" i="1"/>
  <c r="E255" i="1"/>
  <c r="N254" i="1"/>
  <c r="D254" i="1"/>
  <c r="O254" i="1" s="1"/>
  <c r="D253" i="1"/>
  <c r="D252" i="1"/>
  <c r="O251" i="1"/>
  <c r="K251" i="1"/>
  <c r="E251" i="1"/>
  <c r="D251" i="1" s="1"/>
  <c r="D250" i="1"/>
  <c r="D249" i="1"/>
  <c r="D248" i="1"/>
  <c r="D247" i="1"/>
  <c r="K246" i="1"/>
  <c r="E246" i="1"/>
  <c r="D243" i="1"/>
  <c r="O243" i="1" s="1"/>
  <c r="N242" i="1"/>
  <c r="D242" i="1"/>
  <c r="D241" i="1"/>
  <c r="N241" i="1" s="1"/>
  <c r="N240" i="1"/>
  <c r="D240" i="1"/>
  <c r="D239" i="1"/>
  <c r="N239" i="1" s="1"/>
  <c r="N238" i="1"/>
  <c r="D238" i="1"/>
  <c r="D237" i="1"/>
  <c r="N237" i="1" s="1"/>
  <c r="N236" i="1"/>
  <c r="D236" i="1"/>
  <c r="D235" i="1"/>
  <c r="N235" i="1" s="1"/>
  <c r="D234" i="1"/>
  <c r="N234" i="1" s="1"/>
  <c r="D233" i="1"/>
  <c r="N233" i="1" s="1"/>
  <c r="N232" i="1"/>
  <c r="D232" i="1"/>
  <c r="D231" i="1"/>
  <c r="N231" i="1" s="1"/>
  <c r="D230" i="1"/>
  <c r="D229" i="1"/>
  <c r="O229" i="1" s="1"/>
  <c r="D228" i="1"/>
  <c r="O228" i="1" s="1"/>
  <c r="D227" i="1"/>
  <c r="D226" i="1"/>
  <c r="D225" i="1"/>
  <c r="N228" i="1" s="1"/>
  <c r="N224" i="1"/>
  <c r="D224" i="1"/>
  <c r="O224" i="1" s="1"/>
  <c r="D223" i="1"/>
  <c r="N222" i="1"/>
  <c r="D222" i="1"/>
  <c r="O222" i="1" s="1"/>
  <c r="D221" i="1"/>
  <c r="D220" i="1"/>
  <c r="D219" i="1"/>
  <c r="G218" i="1"/>
  <c r="F218" i="1"/>
  <c r="O217" i="1"/>
  <c r="N217" i="1"/>
  <c r="D217" i="1"/>
  <c r="D216" i="1"/>
  <c r="O216" i="1" s="1"/>
  <c r="O215" i="1"/>
  <c r="D215" i="1"/>
  <c r="D214" i="1"/>
  <c r="O214" i="1" s="1"/>
  <c r="N213" i="1"/>
  <c r="G213" i="1"/>
  <c r="D213" i="1"/>
  <c r="O212" i="1"/>
  <c r="O211" i="1"/>
  <c r="D210" i="1"/>
  <c r="D209" i="1"/>
  <c r="D208" i="1"/>
  <c r="D207" i="1"/>
  <c r="D206" i="1"/>
  <c r="N206" i="1" s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N199" i="1" s="1"/>
  <c r="D189" i="1"/>
  <c r="N203" i="1" s="1"/>
  <c r="D188" i="1"/>
  <c r="D187" i="1"/>
  <c r="D186" i="1"/>
  <c r="D185" i="1"/>
  <c r="M183" i="1"/>
  <c r="L183" i="1"/>
  <c r="K183" i="1"/>
  <c r="J183" i="1"/>
  <c r="I183" i="1"/>
  <c r="H183" i="1"/>
  <c r="G183" i="1"/>
  <c r="E183" i="1"/>
  <c r="N182" i="1"/>
  <c r="D182" i="1"/>
  <c r="O181" i="1"/>
  <c r="D181" i="1"/>
  <c r="D180" i="1"/>
  <c r="N180" i="1" s="1"/>
  <c r="D179" i="1"/>
  <c r="D178" i="1"/>
  <c r="N178" i="1" s="1"/>
  <c r="D177" i="1"/>
  <c r="N177" i="1" s="1"/>
  <c r="D176" i="1"/>
  <c r="D175" i="1"/>
  <c r="N174" i="1"/>
  <c r="D174" i="1"/>
  <c r="D173" i="1"/>
  <c r="N176" i="1" s="1"/>
  <c r="D172" i="1"/>
  <c r="O172" i="1" s="1"/>
  <c r="N171" i="1"/>
  <c r="D171" i="1"/>
  <c r="D170" i="1"/>
  <c r="N172" i="1" s="1"/>
  <c r="D169" i="1"/>
  <c r="O169" i="1" s="1"/>
  <c r="D168" i="1"/>
  <c r="D167" i="1"/>
  <c r="O166" i="1"/>
  <c r="D166" i="1"/>
  <c r="N170" i="1" s="1"/>
  <c r="O164" i="1"/>
  <c r="D164" i="1"/>
  <c r="D163" i="1"/>
  <c r="N163" i="1" s="1"/>
  <c r="D162" i="1"/>
  <c r="N162" i="1" s="1"/>
  <c r="D161" i="1"/>
  <c r="M160" i="1"/>
  <c r="L160" i="1"/>
  <c r="K160" i="1"/>
  <c r="J160" i="1"/>
  <c r="I160" i="1"/>
  <c r="H160" i="1"/>
  <c r="G160" i="1"/>
  <c r="F160" i="1"/>
  <c r="E160" i="1"/>
  <c r="D159" i="1"/>
  <c r="O159" i="1" s="1"/>
  <c r="D158" i="1"/>
  <c r="O158" i="1" s="1"/>
  <c r="O157" i="1"/>
  <c r="D157" i="1"/>
  <c r="D156" i="1"/>
  <c r="O155" i="1"/>
  <c r="D155" i="1"/>
  <c r="D154" i="1"/>
  <c r="O154" i="1" s="1"/>
  <c r="M153" i="1"/>
  <c r="L153" i="1"/>
  <c r="K153" i="1"/>
  <c r="J153" i="1"/>
  <c r="I153" i="1"/>
  <c r="H153" i="1"/>
  <c r="G153" i="1"/>
  <c r="F153" i="1"/>
  <c r="E153" i="1"/>
  <c r="D152" i="1"/>
  <c r="O152" i="1" s="1"/>
  <c r="D151" i="1"/>
  <c r="D149" i="1"/>
  <c r="O149" i="1" s="1"/>
  <c r="D148" i="1"/>
  <c r="O148" i="1" s="1"/>
  <c r="D147" i="1"/>
  <c r="N146" i="1"/>
  <c r="D146" i="1"/>
  <c r="O145" i="1"/>
  <c r="D145" i="1"/>
  <c r="N145" i="1" s="1"/>
  <c r="O144" i="1"/>
  <c r="D144" i="1"/>
  <c r="O143" i="1"/>
  <c r="N143" i="1"/>
  <c r="D143" i="1"/>
  <c r="D142" i="1"/>
  <c r="O140" i="1"/>
  <c r="D140" i="1"/>
  <c r="N140" i="1" s="1"/>
  <c r="M139" i="1"/>
  <c r="L139" i="1"/>
  <c r="K139" i="1"/>
  <c r="J139" i="1"/>
  <c r="I139" i="1"/>
  <c r="H139" i="1"/>
  <c r="G139" i="1"/>
  <c r="F139" i="1"/>
  <c r="E139" i="1"/>
  <c r="D137" i="1"/>
  <c r="O137" i="1" s="1"/>
  <c r="D136" i="1"/>
  <c r="O136" i="1" s="1"/>
  <c r="O135" i="1"/>
  <c r="D135" i="1"/>
  <c r="D134" i="1"/>
  <c r="O134" i="1" s="1"/>
  <c r="O132" i="1"/>
  <c r="O131" i="1"/>
  <c r="N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D115" i="1"/>
  <c r="O115" i="1" s="1"/>
  <c r="D114" i="1"/>
  <c r="O114" i="1" s="1"/>
  <c r="O113" i="1"/>
  <c r="O112" i="1"/>
  <c r="O111" i="1"/>
  <c r="O110" i="1"/>
  <c r="O109" i="1"/>
  <c r="D108" i="1"/>
  <c r="O108" i="1" s="1"/>
  <c r="D107" i="1"/>
  <c r="D106" i="1" s="1"/>
  <c r="N105" i="1"/>
  <c r="O104" i="1"/>
  <c r="D102" i="1"/>
  <c r="O102" i="1" s="1"/>
  <c r="O101" i="1"/>
  <c r="D101" i="1"/>
  <c r="O100" i="1"/>
  <c r="D100" i="1"/>
  <c r="N100" i="1" s="1"/>
  <c r="O99" i="1"/>
  <c r="D99" i="1"/>
  <c r="N99" i="1" s="1"/>
  <c r="O98" i="1"/>
  <c r="N98" i="1"/>
  <c r="D98" i="1"/>
  <c r="O97" i="1"/>
  <c r="D97" i="1"/>
  <c r="N97" i="1" s="1"/>
  <c r="O96" i="1"/>
  <c r="D96" i="1"/>
  <c r="O95" i="1"/>
  <c r="D95" i="1"/>
  <c r="N95" i="1" s="1"/>
  <c r="D93" i="1"/>
  <c r="O93" i="1" s="1"/>
  <c r="N92" i="1"/>
  <c r="D92" i="1"/>
  <c r="O92" i="1" s="1"/>
  <c r="D90" i="1"/>
  <c r="D88" i="1"/>
  <c r="O87" i="1"/>
  <c r="O86" i="1"/>
  <c r="D81" i="1"/>
  <c r="D80" i="1"/>
  <c r="D79" i="1"/>
  <c r="D83" i="1" s="1"/>
  <c r="M78" i="1"/>
  <c r="D78" i="1" s="1"/>
  <c r="D77" i="1"/>
  <c r="D76" i="1"/>
  <c r="E75" i="1"/>
  <c r="D75" i="1" s="1"/>
  <c r="D74" i="1"/>
  <c r="D85" i="1" s="1"/>
  <c r="D73" i="1"/>
  <c r="D72" i="1"/>
  <c r="K71" i="1"/>
  <c r="J71" i="1"/>
  <c r="I71" i="1"/>
  <c r="H71" i="1"/>
  <c r="G71" i="1"/>
  <c r="F71" i="1"/>
  <c r="D69" i="1"/>
  <c r="D68" i="1"/>
  <c r="D67" i="1"/>
  <c r="D66" i="1"/>
  <c r="D65" i="1"/>
  <c r="D64" i="1"/>
  <c r="M63" i="1"/>
  <c r="L63" i="1"/>
  <c r="K63" i="1"/>
  <c r="J63" i="1"/>
  <c r="I63" i="1"/>
  <c r="H63" i="1"/>
  <c r="G63" i="1"/>
  <c r="F63" i="1"/>
  <c r="E63" i="1"/>
  <c r="O62" i="1"/>
  <c r="N62" i="1"/>
  <c r="D62" i="1"/>
  <c r="D61" i="1"/>
  <c r="D60" i="1"/>
  <c r="D59" i="1"/>
  <c r="E58" i="1"/>
  <c r="N58" i="1" s="1"/>
  <c r="D58" i="1"/>
  <c r="O57" i="1"/>
  <c r="D57" i="1"/>
  <c r="D56" i="1"/>
  <c r="D55" i="1"/>
  <c r="D54" i="1"/>
  <c r="O53" i="1"/>
  <c r="D53" i="1"/>
  <c r="E52" i="1"/>
  <c r="D52" i="1" s="1"/>
  <c r="O50" i="1"/>
  <c r="D50" i="1"/>
  <c r="O49" i="1"/>
  <c r="D49" i="1"/>
  <c r="N49" i="1" s="1"/>
  <c r="O48" i="1"/>
  <c r="D48" i="1"/>
  <c r="O47" i="1"/>
  <c r="N47" i="1"/>
  <c r="D47" i="1"/>
  <c r="O45" i="1"/>
  <c r="D45" i="1"/>
  <c r="O44" i="1"/>
  <c r="D44" i="1"/>
  <c r="O43" i="1"/>
  <c r="D43" i="1"/>
  <c r="O42" i="1"/>
  <c r="D42" i="1"/>
  <c r="O41" i="1"/>
  <c r="D41" i="1"/>
  <c r="O40" i="1"/>
  <c r="D40" i="1"/>
  <c r="O39" i="1"/>
  <c r="D39" i="1"/>
  <c r="O38" i="1"/>
  <c r="D38" i="1"/>
  <c r="D37" i="1"/>
  <c r="O37" i="1" s="1"/>
  <c r="D36" i="1"/>
  <c r="O36" i="1" s="1"/>
  <c r="M35" i="1"/>
  <c r="L35" i="1"/>
  <c r="K35" i="1"/>
  <c r="J35" i="1"/>
  <c r="I35" i="1"/>
  <c r="H35" i="1"/>
  <c r="G35" i="1"/>
  <c r="F35" i="1"/>
  <c r="E35" i="1"/>
  <c r="D34" i="1"/>
  <c r="D33" i="1"/>
  <c r="O33" i="1" s="1"/>
  <c r="O32" i="1"/>
  <c r="D32" i="1"/>
  <c r="O31" i="1"/>
  <c r="D31" i="1"/>
  <c r="D30" i="1"/>
  <c r="O29" i="1"/>
  <c r="D29" i="1"/>
  <c r="O28" i="1"/>
  <c r="D28" i="1"/>
  <c r="D27" i="1"/>
  <c r="O27" i="1" s="1"/>
  <c r="M26" i="1"/>
  <c r="L26" i="1"/>
  <c r="K26" i="1"/>
  <c r="J26" i="1"/>
  <c r="I26" i="1"/>
  <c r="H26" i="1"/>
  <c r="G26" i="1"/>
  <c r="F26" i="1"/>
  <c r="E26" i="1"/>
  <c r="D24" i="1"/>
  <c r="O24" i="1" s="1"/>
  <c r="D23" i="1"/>
  <c r="O22" i="1"/>
  <c r="N22" i="1"/>
  <c r="D22" i="1"/>
  <c r="D12" i="1"/>
  <c r="O12" i="1" s="1"/>
  <c r="D11" i="1"/>
  <c r="O151" i="1" s="1"/>
  <c r="O10" i="1"/>
  <c r="D10" i="1"/>
  <c r="N93" i="1" s="1"/>
  <c r="D218" i="1" l="1"/>
  <c r="N226" i="1"/>
  <c r="N227" i="1"/>
  <c r="O226" i="1"/>
  <c r="N200" i="1"/>
  <c r="N187" i="1"/>
  <c r="N193" i="1"/>
  <c r="N201" i="1"/>
  <c r="N197" i="1"/>
  <c r="N202" i="1"/>
  <c r="N198" i="1"/>
  <c r="N204" i="1"/>
  <c r="N209" i="1"/>
  <c r="N205" i="1"/>
  <c r="N194" i="1"/>
  <c r="N208" i="1"/>
  <c r="N210" i="1"/>
  <c r="N623" i="1"/>
  <c r="D720" i="1"/>
  <c r="D710" i="1"/>
  <c r="D690" i="1"/>
  <c r="D669" i="1"/>
  <c r="N638" i="1"/>
  <c r="N634" i="1"/>
  <c r="N670" i="1"/>
  <c r="N640" i="1"/>
  <c r="D774" i="1"/>
  <c r="N773" i="1"/>
  <c r="N771" i="1"/>
  <c r="D764" i="1"/>
  <c r="D782" i="1"/>
  <c r="N791" i="1" s="1"/>
  <c r="N806" i="1"/>
  <c r="O825" i="1"/>
  <c r="D860" i="1"/>
  <c r="D874" i="1"/>
  <c r="N745" i="1"/>
  <c r="D746" i="1"/>
  <c r="D326" i="1"/>
  <c r="O326" i="1" s="1"/>
  <c r="D337" i="1"/>
  <c r="O337" i="1" s="1"/>
  <c r="D357" i="1"/>
  <c r="N357" i="1" s="1"/>
  <c r="D361" i="1"/>
  <c r="N361" i="1" s="1"/>
  <c r="O374" i="1"/>
  <c r="N390" i="1"/>
  <c r="E396" i="1"/>
  <c r="D396" i="1" s="1"/>
  <c r="I398" i="1"/>
  <c r="O407" i="1"/>
  <c r="N415" i="1"/>
  <c r="N465" i="1"/>
  <c r="D607" i="1"/>
  <c r="D479" i="1"/>
  <c r="D502" i="1"/>
  <c r="D522" i="1"/>
  <c r="N522" i="1" s="1"/>
  <c r="D532" i="1"/>
  <c r="D553" i="1"/>
  <c r="D572" i="1"/>
  <c r="D781" i="1"/>
  <c r="N371" i="1"/>
  <c r="D380" i="1"/>
  <c r="D436" i="1"/>
  <c r="N436" i="1" s="1"/>
  <c r="G498" i="1"/>
  <c r="N509" i="1"/>
  <c r="N527" i="1"/>
  <c r="D529" i="1"/>
  <c r="D546" i="1"/>
  <c r="D598" i="1"/>
  <c r="D613" i="1"/>
  <c r="N319" i="1"/>
  <c r="D492" i="1"/>
  <c r="K498" i="1"/>
  <c r="E528" i="1"/>
  <c r="D564" i="1"/>
  <c r="D586" i="1"/>
  <c r="D599" i="1"/>
  <c r="D603" i="1"/>
  <c r="N314" i="1"/>
  <c r="N482" i="1"/>
  <c r="N486" i="1"/>
  <c r="D304" i="1"/>
  <c r="N304" i="1" s="1"/>
  <c r="N479" i="1"/>
  <c r="D301" i="1"/>
  <c r="N301" i="1" s="1"/>
  <c r="O261" i="1"/>
  <c r="D286" i="1"/>
  <c r="N286" i="1" s="1"/>
  <c r="O289" i="1"/>
  <c r="D272" i="1"/>
  <c r="N272" i="1" s="1"/>
  <c r="N320" i="1"/>
  <c r="O246" i="1"/>
  <c r="D279" i="1"/>
  <c r="N279" i="1" s="1"/>
  <c r="N169" i="1"/>
  <c r="N179" i="1"/>
  <c r="N168" i="1"/>
  <c r="N175" i="1"/>
  <c r="N173" i="1"/>
  <c r="N181" i="1"/>
  <c r="N751" i="1"/>
  <c r="N810" i="1"/>
  <c r="D153" i="1"/>
  <c r="N153" i="1" s="1"/>
  <c r="D160" i="1"/>
  <c r="N160" i="1" s="1"/>
  <c r="N161" i="1"/>
  <c r="N251" i="1"/>
  <c r="N223" i="1"/>
  <c r="N225" i="1"/>
  <c r="N230" i="1"/>
  <c r="D183" i="1"/>
  <c r="O183" i="1" s="1"/>
  <c r="D26" i="1"/>
  <c r="N26" i="1" s="1"/>
  <c r="N23" i="1"/>
  <c r="D35" i="1"/>
  <c r="N35" i="1" s="1"/>
  <c r="D63" i="1"/>
  <c r="N63" i="1" s="1"/>
  <c r="N90" i="1"/>
  <c r="N102" i="1"/>
  <c r="D255" i="1"/>
  <c r="N405" i="1"/>
  <c r="N427" i="1"/>
  <c r="D71" i="1"/>
  <c r="D84" i="1"/>
  <c r="O23" i="1"/>
  <c r="N48" i="1"/>
  <c r="N50" i="1"/>
  <c r="O90" i="1"/>
  <c r="N96" i="1"/>
  <c r="N101" i="1"/>
  <c r="N142" i="1"/>
  <c r="N144" i="1"/>
  <c r="D82" i="1"/>
  <c r="O106" i="1"/>
  <c r="D103" i="1"/>
  <c r="N268" i="1"/>
  <c r="N167" i="1"/>
  <c r="N207" i="1"/>
  <c r="N463" i="1"/>
  <c r="N462" i="1"/>
  <c r="N613" i="1"/>
  <c r="N24" i="1"/>
  <c r="N152" i="1"/>
  <c r="N166" i="1"/>
  <c r="O187" i="1"/>
  <c r="N189" i="1"/>
  <c r="N191" i="1"/>
  <c r="N195" i="1"/>
  <c r="D257" i="1"/>
  <c r="N298" i="1" s="1"/>
  <c r="D290" i="1"/>
  <c r="O292" i="1"/>
  <c r="N489" i="1"/>
  <c r="N496" i="1"/>
  <c r="D488" i="1"/>
  <c r="D316" i="1"/>
  <c r="N376" i="1"/>
  <c r="O381" i="1"/>
  <c r="N381" i="1"/>
  <c r="D397" i="1"/>
  <c r="L398" i="1"/>
  <c r="O466" i="1"/>
  <c r="N466" i="1"/>
  <c r="D528" i="1"/>
  <c r="N537" i="1" s="1"/>
  <c r="N599" i="1"/>
  <c r="N603" i="1"/>
  <c r="N619" i="1"/>
  <c r="N748" i="1"/>
  <c r="N808" i="1"/>
  <c r="D378" i="1"/>
  <c r="O347" i="1"/>
  <c r="N375" i="1"/>
  <c r="O413" i="1"/>
  <c r="D420" i="1"/>
  <c r="E671" i="1"/>
  <c r="N803" i="1"/>
  <c r="N747" i="1"/>
  <c r="N742" i="1"/>
  <c r="N428" i="1"/>
  <c r="N404" i="1"/>
  <c r="N824" i="1"/>
  <c r="N636" i="1"/>
  <c r="N633" i="1"/>
  <c r="N620" i="1"/>
  <c r="N580" i="1"/>
  <c r="N52" i="1"/>
  <c r="O107" i="1"/>
  <c r="N246" i="1"/>
  <c r="N261" i="1"/>
  <c r="N326" i="1"/>
  <c r="N336" i="1"/>
  <c r="N512" i="1"/>
  <c r="N517" i="1"/>
  <c r="D498" i="1"/>
  <c r="N506" i="1" s="1"/>
  <c r="N516" i="1"/>
  <c r="D389" i="1"/>
  <c r="O428" i="1" s="1"/>
  <c r="E398" i="1"/>
  <c r="M398" i="1"/>
  <c r="D409" i="1"/>
  <c r="N409" i="1" s="1"/>
  <c r="N414" i="1"/>
  <c r="D442" i="1"/>
  <c r="N499" i="1"/>
  <c r="N607" i="1"/>
  <c r="D139" i="1"/>
  <c r="N337" i="1" s="1"/>
  <c r="N188" i="1"/>
  <c r="N190" i="1"/>
  <c r="N192" i="1"/>
  <c r="D246" i="1"/>
  <c r="D264" i="1"/>
  <c r="D308" i="1"/>
  <c r="N308" i="1"/>
  <c r="D331" i="1"/>
  <c r="D367" i="1"/>
  <c r="N367" i="1" s="1"/>
  <c r="N379" i="1"/>
  <c r="D392" i="1"/>
  <c r="H398" i="1"/>
  <c r="N435" i="1"/>
  <c r="D455" i="1"/>
  <c r="N497" i="1"/>
  <c r="N502" i="1"/>
  <c r="N532" i="1"/>
  <c r="N536" i="1"/>
  <c r="N597" i="1"/>
  <c r="N622" i="1"/>
  <c r="N639" i="1"/>
  <c r="N753" i="1"/>
  <c r="N823" i="1"/>
  <c r="O809" i="1"/>
  <c r="N820" i="1"/>
  <c r="F398" i="1"/>
  <c r="J398" i="1"/>
  <c r="N492" i="1"/>
  <c r="N819" i="1"/>
  <c r="E581" i="1"/>
  <c r="D581" i="1" s="1"/>
  <c r="N596" i="1" s="1"/>
  <c r="O498" i="1"/>
  <c r="N507" i="1" l="1"/>
  <c r="N264" i="1"/>
  <c r="N590" i="1"/>
  <c r="N582" i="1"/>
  <c r="N586" i="1"/>
  <c r="N135" i="1"/>
  <c r="N103" i="1"/>
  <c r="N136" i="1"/>
  <c r="N134" i="1"/>
  <c r="N137" i="1"/>
  <c r="D398" i="1"/>
  <c r="E680" i="1"/>
  <c r="D680" i="1" s="1"/>
  <c r="D671" i="1"/>
  <c r="N671" i="1" s="1"/>
  <c r="N529" i="1"/>
  <c r="O331" i="1"/>
  <c r="N331" i="1"/>
</calcChain>
</file>

<file path=xl/sharedStrings.xml><?xml version="1.0" encoding="utf-8"?>
<sst xmlns="http://schemas.openxmlformats.org/spreadsheetml/2006/main" count="1810" uniqueCount="1611">
  <si>
    <t>Количество заседаний представительных органов, проведенных в 2024 году</t>
  </si>
  <si>
    <t>ФОРМУЛЫ В ЯЧЕЙКАХ, ЗАКРАШЕННЫХ СЕРЫМ И ГОЛУБЫМ, НЕ УДАЛЯЕМ И НЕ ИСПРАВЛЯЕМ!</t>
  </si>
  <si>
    <t>Информация о развитии системы местного самоуправления по состоянию на 1 января 2025 г.</t>
  </si>
  <si>
    <t>в</t>
  </si>
  <si>
    <t>(наименование субъекта Российской Федерации или иной территории)</t>
  </si>
  <si>
    <t>Показатель</t>
  </si>
  <si>
    <r>
      <t xml:space="preserve">Всего                 </t>
    </r>
    <r>
      <rPr>
        <b/>
        <sz val="9"/>
        <rFont val="Calibri"/>
        <family val="2"/>
        <charset val="204"/>
        <scheme val="minor"/>
      </rPr>
      <t>(суммарно 
по всем муни-ципальным образованиям)</t>
    </r>
  </si>
  <si>
    <t>Муници-пальные районы</t>
  </si>
  <si>
    <t>Городские поселения</t>
  </si>
  <si>
    <t>Сельские поселения</t>
  </si>
  <si>
    <t>Муници-пальные округа</t>
  </si>
  <si>
    <t>Городские округа</t>
  </si>
  <si>
    <t>в.т.ч. столицы 
и администра-тивные центры субъектов Российской Федерации</t>
  </si>
  <si>
    <t>Городские округа 
с делением</t>
  </si>
  <si>
    <t>Внутри-городские районы</t>
  </si>
  <si>
    <t>Внутригородские муниципальные образования городов Москвы, Санкт-Петербурга, Севастополя</t>
  </si>
  <si>
    <t>Контрольные соотношения</t>
  </si>
  <si>
    <t>Примечания</t>
  </si>
  <si>
    <t>1.</t>
  </si>
  <si>
    <t>Общая численность муниципальных образований:</t>
  </si>
  <si>
    <t>1.1.</t>
  </si>
  <si>
    <t xml:space="preserve">  существующих (существовавших) в соответствии с законами субъектов Российской Федерации:</t>
  </si>
  <si>
    <t>1.1.1.</t>
  </si>
  <si>
    <t xml:space="preserve"> по состоянию на начало текущего годa 
(1 января 2025 г.)</t>
  </si>
  <si>
    <t>1.1.2.</t>
  </si>
  <si>
    <t xml:space="preserve"> по состоянию на начало предыдущего года 
(1 января 2024 г.)</t>
  </si>
  <si>
    <t>1.2.*</t>
  </si>
  <si>
    <t xml:space="preserve">  включенных в государственный реестр муниципальных образований по состоянию на 1 января 2025 г.</t>
  </si>
  <si>
    <t>1.3.</t>
  </si>
  <si>
    <t>Год, в который субъект Российской Федерации полностью перешел на одноуровневую систему организации местного самоуправления</t>
  </si>
  <si>
    <t>1.3.1.</t>
  </si>
  <si>
    <t>1.3.2.</t>
  </si>
  <si>
    <t>1.3.3.</t>
  </si>
  <si>
    <t>1.3.4.</t>
  </si>
  <si>
    <t>1.3.5.</t>
  </si>
  <si>
    <t>1.3.6.</t>
  </si>
  <si>
    <t>1.3.7.</t>
  </si>
  <si>
    <t>ранее 2019 года</t>
  </si>
  <si>
    <t>2.</t>
  </si>
  <si>
    <t>Муниципальные образования с особенностями географического положения:</t>
  </si>
  <si>
    <t>2.1.*</t>
  </si>
  <si>
    <t xml:space="preserve">  приграничные, непосредственно примыкающие к государственной границе (кроме морской границы)</t>
  </si>
  <si>
    <t>2.2.*</t>
  </si>
  <si>
    <t xml:space="preserve">  имеющие выход к морям Мирового океана и Каспийскому морю</t>
  </si>
  <si>
    <t>2.3.*</t>
  </si>
  <si>
    <t xml:space="preserve">  полностью расположенные на островах (включая остров Сахалин)</t>
  </si>
  <si>
    <t>3.</t>
  </si>
  <si>
    <t>Сведения о территории и населении муниципальных образований</t>
  </si>
  <si>
    <t>3.1.*</t>
  </si>
  <si>
    <t>Муниципальные образования с площадью территории (S):</t>
  </si>
  <si>
    <t>3.1.1.*</t>
  </si>
  <si>
    <r>
      <t xml:space="preserve">  S </t>
    </r>
    <r>
      <rPr>
        <sz val="11"/>
        <rFont val="Calibri"/>
        <family val="2"/>
      </rPr>
      <t xml:space="preserve">≤ 1 кв. км. </t>
    </r>
  </si>
  <si>
    <t>3.1.2.*</t>
  </si>
  <si>
    <r>
      <t xml:space="preserve">  1 кв. км </t>
    </r>
    <r>
      <rPr>
        <sz val="11"/>
        <rFont val="Calibri"/>
        <family val="2"/>
      </rPr>
      <t>&lt; S ≤</t>
    </r>
    <r>
      <rPr>
        <sz val="9.35"/>
        <rFont val="Calibri"/>
        <family val="2"/>
      </rPr>
      <t xml:space="preserve"> 10 кв. км. </t>
    </r>
  </si>
  <si>
    <t>3.1.3.*</t>
  </si>
  <si>
    <r>
      <t xml:space="preserve">  10 кв. км </t>
    </r>
    <r>
      <rPr>
        <sz val="11"/>
        <rFont val="Calibri"/>
        <family val="2"/>
      </rPr>
      <t>&lt; S ≤</t>
    </r>
    <r>
      <rPr>
        <sz val="9.35"/>
        <rFont val="Calibri"/>
        <family val="2"/>
      </rPr>
      <t xml:space="preserve"> 100 кв. км. </t>
    </r>
  </si>
  <si>
    <t>3.1.4.</t>
  </si>
  <si>
    <r>
      <t xml:space="preserve">  100 кв. км </t>
    </r>
    <r>
      <rPr>
        <sz val="11"/>
        <rFont val="Calibri"/>
        <family val="2"/>
      </rPr>
      <t>&lt; S ≤</t>
    </r>
    <r>
      <rPr>
        <sz val="9.35"/>
        <rFont val="Calibri"/>
        <family val="2"/>
      </rPr>
      <t xml:space="preserve"> 1 тыс. кв. км. </t>
    </r>
  </si>
  <si>
    <t>3.1.5.*</t>
  </si>
  <si>
    <r>
      <t xml:space="preserve">  1 тыс. кв. км </t>
    </r>
    <r>
      <rPr>
        <sz val="11"/>
        <rFont val="Calibri"/>
        <family val="2"/>
      </rPr>
      <t>&lt; S ≤</t>
    </r>
    <r>
      <rPr>
        <sz val="9.35"/>
        <rFont val="Calibri"/>
        <family val="2"/>
      </rPr>
      <t xml:space="preserve"> 10 тыс. кв. км. </t>
    </r>
  </si>
  <si>
    <t>3.1.6.*</t>
  </si>
  <si>
    <r>
      <t xml:space="preserve">  10 тыс. кв. км </t>
    </r>
    <r>
      <rPr>
        <sz val="11"/>
        <rFont val="Calibri"/>
        <family val="2"/>
      </rPr>
      <t>&lt; S ≤</t>
    </r>
    <r>
      <rPr>
        <sz val="9.35"/>
        <rFont val="Calibri"/>
        <family val="2"/>
      </rPr>
      <t xml:space="preserve"> 100 тыс. кв. км. </t>
    </r>
  </si>
  <si>
    <t>3.1.7.*</t>
  </si>
  <si>
    <t xml:space="preserve">  S &gt; 100 тыс. кв. км.</t>
  </si>
  <si>
    <t>3.1.8.*</t>
  </si>
  <si>
    <t xml:space="preserve">  нет данных</t>
  </si>
  <si>
    <t>3.2.</t>
  </si>
  <si>
    <t>Муниципальные образования с численностью постоянного населения:</t>
  </si>
  <si>
    <t>3.2.1.*</t>
  </si>
  <si>
    <t xml:space="preserve">  до 100 жителей</t>
  </si>
  <si>
    <t>3.2.2.*</t>
  </si>
  <si>
    <t xml:space="preserve">  от 101 до 1 000 жителей</t>
  </si>
  <si>
    <t>3.2.3.*</t>
  </si>
  <si>
    <t xml:space="preserve">  от 1 001 до 10 000 жителей</t>
  </si>
  <si>
    <t>3.2.4.*</t>
  </si>
  <si>
    <t xml:space="preserve">  от 10 001 до 20 000 жителей</t>
  </si>
  <si>
    <t>3.2.5.*</t>
  </si>
  <si>
    <t xml:space="preserve">  от 20 001 до 50 000 жителей</t>
  </si>
  <si>
    <t>3.2.6.*</t>
  </si>
  <si>
    <t xml:space="preserve">  от 50 001 до 100 000 жителей</t>
  </si>
  <si>
    <t>3.2.7.*</t>
  </si>
  <si>
    <t xml:space="preserve">  от 100 001 до 250 000 жителей</t>
  </si>
  <si>
    <t>3.2.8.*</t>
  </si>
  <si>
    <t xml:space="preserve">  от 250 001 до 500 000 жителей</t>
  </si>
  <si>
    <t>3.2.9.*</t>
  </si>
  <si>
    <t xml:space="preserve">  от 500 001 до 1 млн жителей</t>
  </si>
  <si>
    <t>3.2.10.*</t>
  </si>
  <si>
    <t xml:space="preserve">  более 1 млн жителей</t>
  </si>
  <si>
    <t>3.3.</t>
  </si>
  <si>
    <r>
      <t xml:space="preserve">Муниципальные районы, муниципальные и городские округа, </t>
    </r>
    <r>
      <rPr>
        <u/>
        <sz val="11"/>
        <rFont val="Calibri"/>
        <family val="2"/>
        <scheme val="minor"/>
      </rPr>
      <t>соответствующие</t>
    </r>
    <r>
      <rPr>
        <sz val="11"/>
        <rFont val="Calibri"/>
        <family val="2"/>
        <scheme val="minor"/>
      </rPr>
      <t xml:space="preserve"> следующим критериям городского округа:</t>
    </r>
  </si>
  <si>
    <t>3.3.1.*</t>
  </si>
  <si>
    <t xml:space="preserve">  не менее 2/3 населения проживают в городских населенных пунктах</t>
  </si>
  <si>
    <t>3.3.2.*</t>
  </si>
  <si>
    <t xml:space="preserve">  территории городских населенных пунктов составляют не менее 1/3 территории муниципального образования</t>
  </si>
  <si>
    <t>3.3.3.*</t>
  </si>
  <si>
    <t xml:space="preserve">  плотность населения от 42,5 чел. на кв.км. 
(в 5 и более раз больше чем средняя по России)</t>
  </si>
  <si>
    <t>3.3.4.</t>
  </si>
  <si>
    <r>
      <t xml:space="preserve"> Муниципальные образования одновременно соответствующие </t>
    </r>
    <r>
      <rPr>
        <u/>
        <sz val="11"/>
        <rFont val="Calibri"/>
        <family val="2"/>
        <scheme val="minor"/>
      </rPr>
      <t>всем трем</t>
    </r>
    <r>
      <rPr>
        <sz val="11"/>
        <rFont val="Calibri"/>
        <family val="2"/>
        <scheme val="minor"/>
      </rPr>
      <t xml:space="preserve"> вышеназванным критериям городского округа</t>
    </r>
  </si>
  <si>
    <t>4.</t>
  </si>
  <si>
    <t>Сведения о составе муниципальных образований и населенных пунктах</t>
  </si>
  <si>
    <t>4.1.</t>
  </si>
  <si>
    <t>Муниципальные районы по количеству входящих в их состав поселений:</t>
  </si>
  <si>
    <t>4.1.1.*</t>
  </si>
  <si>
    <t xml:space="preserve">  1-2 поселения (или без поселений)</t>
  </si>
  <si>
    <t>4.1.2.</t>
  </si>
  <si>
    <t xml:space="preserve">  3-5 поселений</t>
  </si>
  <si>
    <t>4.1.3.</t>
  </si>
  <si>
    <t xml:space="preserve">  6-10 поселений</t>
  </si>
  <si>
    <t>4.1.4.</t>
  </si>
  <si>
    <t xml:space="preserve">  11-20 поселений</t>
  </si>
  <si>
    <t>4.1.5.*</t>
  </si>
  <si>
    <t xml:space="preserve">  21 и более поселений</t>
  </si>
  <si>
    <t xml:space="preserve">4.2. </t>
  </si>
  <si>
    <t>Муниципальные районы по видам входящих в их состав поселений:</t>
  </si>
  <si>
    <t>4.2.1.</t>
  </si>
  <si>
    <t xml:space="preserve">  только городские поселения</t>
  </si>
  <si>
    <t>4.2.2.</t>
  </si>
  <si>
    <t xml:space="preserve">  городские и сельские поселения</t>
  </si>
  <si>
    <t>4.2.3.</t>
  </si>
  <si>
    <t xml:space="preserve">  только сельские поселения (или без поселений)</t>
  </si>
  <si>
    <t>4.3.*</t>
  </si>
  <si>
    <t>Муниципальные районы с межселенными территориями</t>
  </si>
  <si>
    <t xml:space="preserve">4.4. </t>
  </si>
  <si>
    <t>Муниципальные образования, на территории которых находятся:</t>
  </si>
  <si>
    <t>4.4.1.</t>
  </si>
  <si>
    <t xml:space="preserve">  1-2 населенный пункта (или ни одного населенного пункта)</t>
  </si>
  <si>
    <t>4.4.2.</t>
  </si>
  <si>
    <t xml:space="preserve">  3-10 населенных пунктов</t>
  </si>
  <si>
    <t>4.4.3.</t>
  </si>
  <si>
    <t xml:space="preserve">  11-100 населенных пунктов</t>
  </si>
  <si>
    <t>4.4.4.</t>
  </si>
  <si>
    <t xml:space="preserve">  101 и более населенных пунктов</t>
  </si>
  <si>
    <t>4.4.5.</t>
  </si>
  <si>
    <t xml:space="preserve">  лишь часть населенного пункта (города)</t>
  </si>
  <si>
    <t>4.4.6.</t>
  </si>
  <si>
    <t xml:space="preserve">  часть населенного пункта (города) и другие населенные пункты</t>
  </si>
  <si>
    <t>4.5.</t>
  </si>
  <si>
    <t>Количество населенных пунктов:</t>
  </si>
  <si>
    <t>4.5.1.</t>
  </si>
  <si>
    <t xml:space="preserve">  расположенных в границах поселений, муниципальных и городских округов в т.ч.:</t>
  </si>
  <si>
    <t>4.5.1.1.</t>
  </si>
  <si>
    <t xml:space="preserve">    городов</t>
  </si>
  <si>
    <t>4.5.1.2.</t>
  </si>
  <si>
    <t xml:space="preserve">    поселков</t>
  </si>
  <si>
    <t>4.5.1.3.</t>
  </si>
  <si>
    <t xml:space="preserve">    иных (сельских) населенных пунктов</t>
  </si>
  <si>
    <t>4.5.2.</t>
  </si>
  <si>
    <t xml:space="preserve">  расположенных на межселенных территориях (вне поселений), в т.ч.:</t>
  </si>
  <si>
    <t>4.5.2.1.</t>
  </si>
  <si>
    <t>4.5.2.2.</t>
  </si>
  <si>
    <t>4.5.3.</t>
  </si>
  <si>
    <t xml:space="preserve">  расположенных в субъектах Российской Федерации - городах федерального значения, в т.ч.:</t>
  </si>
  <si>
    <t>4.5.3.1.</t>
  </si>
  <si>
    <t xml:space="preserve">  городов</t>
  </si>
  <si>
    <t>4.5.3.2.</t>
  </si>
  <si>
    <t xml:space="preserve">  поселков</t>
  </si>
  <si>
    <t>4.5.3.3.</t>
  </si>
  <si>
    <t xml:space="preserve">  иных (сельских) населенных пунктов</t>
  </si>
  <si>
    <t>4.5.4.</t>
  </si>
  <si>
    <t>Общее число населенных пунктов 
(автоматический подсчет, не заполняется), в т.ч.</t>
  </si>
  <si>
    <t>4.5.4.1.</t>
  </si>
  <si>
    <t>4.5.4.2.</t>
  </si>
  <si>
    <t>4.5.4.3.</t>
  </si>
  <si>
    <t>4.6.*</t>
  </si>
  <si>
    <t>Количество городских агломераций, фактически сложившихся на территории субъекта Российской Федерации</t>
  </si>
  <si>
    <t>4.7.*</t>
  </si>
  <si>
    <t>Количество опорных населенных пунктов</t>
  </si>
  <si>
    <t>4.8.</t>
  </si>
  <si>
    <t>Количество муниципальных образований, на территории которых расположены опорные населенные пункты</t>
  </si>
  <si>
    <t xml:space="preserve">5. </t>
  </si>
  <si>
    <t>Муниципальные образования с особенностями статуса и организации местного самоуправления:</t>
  </si>
  <si>
    <t xml:space="preserve">5.1. </t>
  </si>
  <si>
    <t>Муниципальные образования, полностью или частично расположенные на федеральной территории (согл. Федеральному закону от 22 декабря 2020 г. № 437-ФЗ)</t>
  </si>
  <si>
    <t xml:space="preserve">5.2. </t>
  </si>
  <si>
    <t>Муниципальные образования с особым правовым статусом:</t>
  </si>
  <si>
    <t>5.2.1.*</t>
  </si>
  <si>
    <t xml:space="preserve">  закрытые административно-территориальные образования (согл. Закону от 14 июля 1992 г. №3297-1)</t>
  </si>
  <si>
    <t>5.2.2.*</t>
  </si>
  <si>
    <t xml:space="preserve">  наукограды (согл. Федеральному закону от 7 апреля 1999 г. № 70-ФЗ)</t>
  </si>
  <si>
    <t>5.3.</t>
  </si>
  <si>
    <t>Муниципальные образования, полностью или частично расположенные на территориях с особыми правовыми режимами:</t>
  </si>
  <si>
    <t>5.3.1.*</t>
  </si>
  <si>
    <t xml:space="preserve">   на приграничных территориях (в пограничной зоне, определяемой ФСБ России согласно Закону №4730-1)</t>
  </si>
  <si>
    <t>5.3.2.*</t>
  </si>
  <si>
    <t xml:space="preserve">    в районах Крайнего Севера и приравненных к ним местностях с ограниченными сроками завоза (согл. пост-нию Правительства РФ от 23.05.2000 №402) </t>
  </si>
  <si>
    <t>5.3.3.*</t>
  </si>
  <si>
    <t xml:space="preserve">    на территориях инновационных научно-технологических центров (включая «Сколково») 
(согл. федеральным законам № 216-ФЗ и № 244-ФЗ)</t>
  </si>
  <si>
    <t>5.3.4.*</t>
  </si>
  <si>
    <t xml:space="preserve">    на территориях опережающего социально-экономического развития (созданных Пр-вом РФ согл. ст. 3 Федерального закона от 29.12.2004 №473-ФЗ) </t>
  </si>
  <si>
    <t>5.3.5.*</t>
  </si>
  <si>
    <t xml:space="preserve">    на территориях свободных портов (согласно ст.4 Федерального закона от 13 июля 2015 г. № 212-ФЗ)</t>
  </si>
  <si>
    <t>5.3.6.*</t>
  </si>
  <si>
    <t xml:space="preserve">    на территориях Арктической зоны (согласно ст.2 Федерального закона от 13 июля 2020 г. № 193-ФЗ)</t>
  </si>
  <si>
    <t>5.3.7.*</t>
  </si>
  <si>
    <t xml:space="preserve">    на территориях традиционного природопользования (согл. Федеральному закону от 7 мая 2001 г. № 49-ФЗ)</t>
  </si>
  <si>
    <t>5.4.*</t>
  </si>
  <si>
    <t>Муниципальные образования с монопрофильной экономикой (моногорода) (согласно распоряжению Правительства РФ от 29 июля 2014 г. № 1398-р)</t>
  </si>
  <si>
    <t>6.</t>
  </si>
  <si>
    <r>
      <t>Изменения территориальной организации местного самоуправления в 2024 году</t>
    </r>
    <r>
      <rPr>
        <sz val="11"/>
        <rFont val="Calibri"/>
        <family val="2"/>
        <scheme val="minor"/>
      </rPr>
      <t xml:space="preserve"> (согл. законам субъектов РФ, вступившим в силу с 02.01.2024 по 01.01.2025):</t>
    </r>
  </si>
  <si>
    <t>6.1.*</t>
  </si>
  <si>
    <t xml:space="preserve">  изменения границ муниципальных образований 
(в пределах субъекта РФ):</t>
  </si>
  <si>
    <t>6.1.1.</t>
  </si>
  <si>
    <t xml:space="preserve">    в т.ч. затронувшие населенные пункты</t>
  </si>
  <si>
    <t>6.2.*</t>
  </si>
  <si>
    <t xml:space="preserve">  преобразования муниципальных образований, в т.ч.:</t>
  </si>
  <si>
    <t>6.2.1.*</t>
  </si>
  <si>
    <t xml:space="preserve">    объединения муниципальных образований, в т.ч.</t>
  </si>
  <si>
    <t>6.2.1.1.*</t>
  </si>
  <si>
    <t xml:space="preserve">      простые объединения двух или нескольких муниципальных образований одного вида</t>
  </si>
  <si>
    <t>6.2.1.2.*</t>
  </si>
  <si>
    <t xml:space="preserve">      объединения городских поселений с сельскими</t>
  </si>
  <si>
    <t>6.2.1.3.*</t>
  </si>
  <si>
    <t xml:space="preserve">      объединения городских округов с муниципальными округами</t>
  </si>
  <si>
    <t xml:space="preserve">6.2.1.4.* </t>
  </si>
  <si>
    <t xml:space="preserve">      объединения одного или нескольких поселений с существующим городским или муниципальным округом</t>
  </si>
  <si>
    <t>6.2.1.5.*</t>
  </si>
  <si>
    <t xml:space="preserve">      объединения всех поселений муниципального района с существующим муниципальным или городским округом (с упразднением муниципального района)</t>
  </si>
  <si>
    <t>6.2.1.6.*</t>
  </si>
  <si>
    <t xml:space="preserve">      объединения всех поселений муниципального района с созданием нового городского или муниципального округа</t>
  </si>
  <si>
    <t>6.2.2.*</t>
  </si>
  <si>
    <t xml:space="preserve">    разделения муниципальных образований 
(с образованием на его месте двух или нескольких новых муниципальных образований)</t>
  </si>
  <si>
    <t>6.2.3.*</t>
  </si>
  <si>
    <t xml:space="preserve">   изменения статуса муниципального образования (наделение статусом либо лишение статуса)</t>
  </si>
  <si>
    <t>6.2.3.1.*</t>
  </si>
  <si>
    <t xml:space="preserve">      сельское поселение - городское поселение</t>
  </si>
  <si>
    <t>6.2.3.2.*</t>
  </si>
  <si>
    <t xml:space="preserve">      городское поселение - сельское поселение</t>
  </si>
  <si>
    <t>6.2.3.3.*</t>
  </si>
  <si>
    <t xml:space="preserve">      городское поселение - городской округ (наделение статусом)</t>
  </si>
  <si>
    <t>6.2.3.4.*</t>
  </si>
  <si>
    <t xml:space="preserve">      городской округ - городское поселение (лишение статуса)</t>
  </si>
  <si>
    <t>6.2.3.5.*</t>
  </si>
  <si>
    <t xml:space="preserve">     городской округ - муниципальный округ</t>
  </si>
  <si>
    <t>6.2.3.6.*</t>
  </si>
  <si>
    <t xml:space="preserve">      муниципальный округ - городской округ</t>
  </si>
  <si>
    <t>6.2.3.7.*</t>
  </si>
  <si>
    <t xml:space="preserve">      городской округ - городской округ с делением (наделение статусом)</t>
  </si>
  <si>
    <t>6.2.3.8.*</t>
  </si>
  <si>
    <t xml:space="preserve">      городской округ с делением - городской округ (лишение статуса)</t>
  </si>
  <si>
    <t>6.2.4.*</t>
  </si>
  <si>
    <t xml:space="preserve">    присоединение поселения (поселений) к внутригородскому округу с делением</t>
  </si>
  <si>
    <t>6.2.5.*</t>
  </si>
  <si>
    <t xml:space="preserve">    выделение внутригородского района из городского округа с делением</t>
  </si>
  <si>
    <t>6.2.6.*</t>
  </si>
  <si>
    <t xml:space="preserve">    иные преобразования (в т.ч. комбинированные)</t>
  </si>
  <si>
    <t>6.3.*</t>
  </si>
  <si>
    <t xml:space="preserve">  упразднение поселений</t>
  </si>
  <si>
    <t>6.4.*</t>
  </si>
  <si>
    <t xml:space="preserve">  создание новых поселений на межселенных территориях</t>
  </si>
  <si>
    <t>6.5.*</t>
  </si>
  <si>
    <t>Изменения, связанные с изменениями состава Российской Федерации и границ между ее субъектами</t>
  </si>
  <si>
    <t>6.6.*</t>
  </si>
  <si>
    <t>Случаи отмены или приостановления действия любых изменений (в том числе произведенных в предыдущие годы)</t>
  </si>
  <si>
    <t>6.6.1.*</t>
  </si>
  <si>
    <t xml:space="preserve">  в т.ч. по решению (определению) суда</t>
  </si>
  <si>
    <t>6.7.*</t>
  </si>
  <si>
    <t>Случаи повторного введения в действие ранее отмененных или приостановленных изменений</t>
  </si>
  <si>
    <t>7.</t>
  </si>
  <si>
    <r>
      <t xml:space="preserve">Муниципальные образования, затронутые изменениями территориальной организации местного самоуправления в 2024 году </t>
    </r>
    <r>
      <rPr>
        <sz val="11"/>
        <rFont val="Calibri"/>
        <family val="2"/>
        <scheme val="minor"/>
      </rPr>
      <t xml:space="preserve"> (согл. законам субъектов РФ, вступившим в силу не ранее 2 января 2024 г. и не позднее 1 января 2025 г.):</t>
    </r>
  </si>
  <si>
    <t>7.1.*</t>
  </si>
  <si>
    <t xml:space="preserve">  границы (но не статус) которых менялся в указанный период</t>
  </si>
  <si>
    <t>7.2.*</t>
  </si>
  <si>
    <t xml:space="preserve">  ранее существовавшие в ином статусе, но не являющиеся вновь образованными</t>
  </si>
  <si>
    <t>7.3.*</t>
  </si>
  <si>
    <t xml:space="preserve">  вновь образованные в указанный период (в том числе в связи с преобразованиями)</t>
  </si>
  <si>
    <t>7.4.*</t>
  </si>
  <si>
    <t xml:space="preserve">  прекратившие существование в указанный период (утратившие статус муниципальных образований вследствие преобразования или упразднения)</t>
  </si>
  <si>
    <t>8.</t>
  </si>
  <si>
    <t>Уставы муниципальных образований и нормативно-правовое обеспечение</t>
  </si>
  <si>
    <t>8.1.</t>
  </si>
  <si>
    <t>Муниципальные образования с действующими (принятыми, зарегистрированными, опубликованными и вступившими в силу) уставами</t>
  </si>
  <si>
    <t xml:space="preserve">8.2.* </t>
  </si>
  <si>
    <t>Муниципальные образования, не имеющие действующих (принятых, зарегистрированных, опубликованных и вступивших в силу) уставов</t>
  </si>
  <si>
    <t>8.3.</t>
  </si>
  <si>
    <t>Муниципальные образования, в которых приняты действующие:</t>
  </si>
  <si>
    <t>8.3.1.</t>
  </si>
  <si>
    <t xml:space="preserve">  генеральные планы</t>
  </si>
  <si>
    <t>8.3.2.</t>
  </si>
  <si>
    <t xml:space="preserve">  схемы территориального планирования</t>
  </si>
  <si>
    <t>8.3.3.</t>
  </si>
  <si>
    <t xml:space="preserve">  правила землепользования и застройки</t>
  </si>
  <si>
    <t>8.3.4.</t>
  </si>
  <si>
    <t xml:space="preserve">  правила благоустройства территории</t>
  </si>
  <si>
    <t xml:space="preserve">8.4. </t>
  </si>
  <si>
    <t>Поселения, в которых в соотв. с ч.6 ст. 18 Градостроитель-ного кодекса РФ приняты решения об отсутствии необходимости разработки генеральных планов</t>
  </si>
  <si>
    <t>8.5.</t>
  </si>
  <si>
    <t>Муниципальные образования, в которых полностью или частично создана нормативная база для участия в национальных проектах (программах)</t>
  </si>
  <si>
    <t>8.6.*</t>
  </si>
  <si>
    <t>Муниципальные образования, в которых законами и муниципальными правовыми актами в 2024 г. было предусмотрено проведение оценки регулирующего воздействия отдельных проектов муниципальных правовых актов</t>
  </si>
  <si>
    <t>8.7.*</t>
  </si>
  <si>
    <t>Муниципальные образования, в которых в 2024 г. осуществлялась оценка воздействия регулирующего воздействия отдельных проектов муниципальных правовых актов</t>
  </si>
  <si>
    <t>9.</t>
  </si>
  <si>
    <t>Муниципальные образования и местные бюджеты</t>
  </si>
  <si>
    <t>9.1.</t>
  </si>
  <si>
    <t>Муниципальные образования - участники бюджетного процесса в 2024 году</t>
  </si>
  <si>
    <t>9.2.*</t>
  </si>
  <si>
    <t>Муниципальные образования, в которых были приняты местные бюджеты на 2024 год</t>
  </si>
  <si>
    <t>9.3.</t>
  </si>
  <si>
    <t>Муниципальные образования с доходами за 2024 год, закрепленными в местном бюджете:</t>
  </si>
  <si>
    <t>9.3.1.*</t>
  </si>
  <si>
    <t xml:space="preserve">  до 1 млн рублей</t>
  </si>
  <si>
    <t>9.3.2.*</t>
  </si>
  <si>
    <t xml:space="preserve">  от 1 до 10 млн. рублей</t>
  </si>
  <si>
    <t>9.3.3.</t>
  </si>
  <si>
    <t xml:space="preserve">  от 10 до 100 млн. рублей</t>
  </si>
  <si>
    <t>9.3.4.*</t>
  </si>
  <si>
    <t xml:space="preserve">  от 100 млн до 1 млрд рублей</t>
  </si>
  <si>
    <t>9.3.5.*</t>
  </si>
  <si>
    <t xml:space="preserve">  от 1 до 10 млрд рублей</t>
  </si>
  <si>
    <t xml:space="preserve">9.3.6.* </t>
  </si>
  <si>
    <t xml:space="preserve">  более 10 млрд рублей</t>
  </si>
  <si>
    <t>9.4.</t>
  </si>
  <si>
    <t>Муниципальные образования - субъекты бюджетных правоотношений, подпадавшие в 2024 г. под действие специальных норм статьи 136 Бюджетного кодекса Российской Федерации, в т.ч.:</t>
  </si>
  <si>
    <t>9.4.1.</t>
  </si>
  <si>
    <r>
      <t xml:space="preserve">  пункта 2 (но не пунктов 3 и 4) статьи 136 - дотации и поступления по дополнительным нормативам отчислений составляли </t>
    </r>
    <r>
      <rPr>
        <u/>
        <sz val="11"/>
        <rFont val="Calibri"/>
        <family val="2"/>
        <scheme val="minor"/>
      </rPr>
      <t>более 5, но не более 20 процентов</t>
    </r>
    <r>
      <rPr>
        <sz val="11"/>
        <rFont val="Calibri"/>
        <family val="2"/>
        <scheme val="minor"/>
      </rPr>
      <t xml:space="preserve"> доходов местного бюджета за 2 из 3 последних отчетных финансовых лет</t>
    </r>
  </si>
  <si>
    <t>9.4.2.</t>
  </si>
  <si>
    <r>
      <t xml:space="preserve">  пункта 3 (но не пункта 4) статьи 136 - дотации и поступления по дополнительным нормативам отчислений составляли </t>
    </r>
    <r>
      <rPr>
        <u/>
        <sz val="11"/>
        <rFont val="Calibri"/>
        <family val="2"/>
        <scheme val="minor"/>
      </rPr>
      <t>более 20, но не более 50 процентов</t>
    </r>
    <r>
      <rPr>
        <sz val="11"/>
        <rFont val="Calibri"/>
        <family val="2"/>
        <scheme val="minor"/>
      </rPr>
      <t xml:space="preserve"> доходов местного бюджета за 2 из 3 последних отчетных финансовых лет</t>
    </r>
  </si>
  <si>
    <t>9.4.3.</t>
  </si>
  <si>
    <r>
      <t xml:space="preserve">  пункта 4 статьи 136 - дотации и поступления по дополнительным нормативам отчислений составляли </t>
    </r>
    <r>
      <rPr>
        <u/>
        <sz val="11"/>
        <rFont val="Calibri"/>
        <family val="2"/>
        <scheme val="minor"/>
      </rPr>
      <t>более 50 процентов</t>
    </r>
    <r>
      <rPr>
        <sz val="11"/>
        <rFont val="Calibri"/>
        <family val="2"/>
        <scheme val="minor"/>
      </rPr>
      <t xml:space="preserve"> доходов местного бюджета за 2 из 3 последних отчетных финансовых лет</t>
    </r>
  </si>
  <si>
    <t xml:space="preserve">9.5.* </t>
  </si>
  <si>
    <t>Муниципальные образования, в которых в 2024 г. вводилась или действовала введенная ранее временная финансовая администрация</t>
  </si>
  <si>
    <t xml:space="preserve">10. </t>
  </si>
  <si>
    <t>Сведения об осуществлении отдельных полномочий органами местного самоуправления муниципальных образований в 2024 финансовом году</t>
  </si>
  <si>
    <t>10.1.</t>
  </si>
  <si>
    <r>
      <rPr>
        <u/>
        <sz val="11"/>
        <rFont val="Calibri"/>
        <family val="2"/>
        <scheme val="minor"/>
      </rPr>
      <t>Количество муниципальных образований,</t>
    </r>
    <r>
      <rPr>
        <sz val="11"/>
        <rFont val="Calibri"/>
        <family val="2"/>
        <scheme val="minor"/>
      </rPr>
      <t xml:space="preserve"> органы местного самоуправления которых осуществляли в 2024 финансовом году какие-либо переданные (делегированные) государственные полномочия, </t>
    </r>
    <r>
      <rPr>
        <u/>
        <sz val="11"/>
        <rFont val="Calibri"/>
        <family val="2"/>
        <scheme val="minor"/>
      </rPr>
      <t>обеспеченные субвенциями</t>
    </r>
    <r>
      <rPr>
        <sz val="11"/>
        <rFont val="Calibri"/>
        <family val="2"/>
        <scheme val="minor"/>
      </rPr>
      <t xml:space="preserve"> из федерального бюджета или бюджета субъекта РФ</t>
    </r>
    <r>
      <rPr>
        <u/>
        <sz val="11"/>
        <rFont val="Calibri"/>
        <family val="2"/>
        <scheme val="minor"/>
      </rPr>
      <t xml:space="preserve"> (подсчет самих полномочий вести не нужно)</t>
    </r>
    <r>
      <rPr>
        <sz val="11"/>
        <rFont val="Calibri"/>
        <family val="2"/>
        <scheme val="minor"/>
      </rPr>
      <t>, в том числе:</t>
    </r>
  </si>
  <si>
    <t>10.1.1.</t>
  </si>
  <si>
    <t xml:space="preserve">  федеральные полномочия, напрямую делегированные органам местного самоуправления (хотя бы одно из нижеперечисленных):</t>
  </si>
  <si>
    <t>10.1.1.1.</t>
  </si>
  <si>
    <t xml:space="preserve">    по составлению списков кандидатов в присяжные заседатели (ст.4, ст.5 Федерального закона от 20 августа 2004 г. № 113-ФЗ)</t>
  </si>
  <si>
    <t>10.1.1.2.*</t>
  </si>
  <si>
    <t xml:space="preserve">    по первичному воинскому учету (там, где нет военных комиссариатов) (ст. 8 Федерального закона 
от 28 марта 1998 г. № 53-ФЗ)</t>
  </si>
  <si>
    <t>10.1.2.</t>
  </si>
  <si>
    <t xml:space="preserve">  федеральные полномочия, делегированные субъектам Российской Федерации в соответствии с Федеральным законом от 21 декабря 2021 г. № 414-ФЗ (и обеспеченные субвенциями из федерального бюджета), а затем переданные ими (в порядке "субделегирования") органам местного самоуправления согласно ст. 19 Федерального закона от 6 октября 2003 г. № 131-ФЗ (хотя бы одно из нижеперечисленных), в т.ч.:</t>
  </si>
  <si>
    <t>10.1.2.1.</t>
  </si>
  <si>
    <t xml:space="preserve">   по составлению списков кандидатов в присяжные заседатели (для городов федерального значения) (ст.5.1 Федерального закона от 20 августа 2004 г. №113-ФЗ)</t>
  </si>
  <si>
    <t>10.1.2.2.*</t>
  </si>
  <si>
    <t xml:space="preserve">    по регистрации актов гражданского состояния (Федеральный закон от 15 ноября 1997 г. № 143-ФЗ) </t>
  </si>
  <si>
    <t>10.1.2.3.</t>
  </si>
  <si>
    <t xml:space="preserve">    по предоставлению социальных гарантий (обеспечение жильем, оплата жилищно-коммунальных услуг, компенсационные выплаты и др.) отдельным категориям граждан, в т.ч.:</t>
  </si>
  <si>
    <t xml:space="preserve">10.1.2.3.1. </t>
  </si>
  <si>
    <t xml:space="preserve">    гражданам, имеющим детей (согласно федеральным законам от 19 мая 1995 г. № 81-ФЗ, от 28 декабря 2017 г. № 418-ФЗ)</t>
  </si>
  <si>
    <t xml:space="preserve">10.1.2.3.2. </t>
  </si>
  <si>
    <t xml:space="preserve">     ветеранам (согласно Федеральному закону 
от 12 января 1995 г. № 5-ФЗ)</t>
  </si>
  <si>
    <t xml:space="preserve">10.1.2.3.3. </t>
  </si>
  <si>
    <t xml:space="preserve">    бывшим военнослужащим и членам их семей (согласно Федеральному закону от 27 мая 1998 г. №76-ФЗ)</t>
  </si>
  <si>
    <t xml:space="preserve">10.1.2.3.4. </t>
  </si>
  <si>
    <t xml:space="preserve">    инвалидам (согласно Федеральному закону от 24 ноября 1995 г. № 181-ФЗ и ст. 17 Федерального закона от 25 апреля 2002 г. № 40-ФЗ)</t>
  </si>
  <si>
    <t>10.1.2.3.5.</t>
  </si>
  <si>
    <t xml:space="preserve">     пострадавшим вследствие Чернобыльской катастрофы (Закон РФ от 15 мая 1991 г. № 1244-1), аварии на ПО Маяк (от 26 ноября 1998 г. № 175-ФЗ ), а также испытаний на Семипалатинском полигоне (Федеральный закон от 10 января 2002 г. № 2-ФЗ)</t>
  </si>
  <si>
    <t xml:space="preserve">10.1.2.3.6. </t>
  </si>
  <si>
    <t xml:space="preserve">    при поствакцинальных осложнениях (согласно Федеральному закону от 17 сентября 1998 г. № 157-ФЗ)</t>
  </si>
  <si>
    <t xml:space="preserve">10.1.2.3.7. </t>
  </si>
  <si>
    <t xml:space="preserve">    донорам (согласно Федеральному закону от 20 июля 2012 г. № 125-ФЗ)</t>
  </si>
  <si>
    <t>10.1.3.*</t>
  </si>
  <si>
    <r>
      <t xml:space="preserve">  "собственные" полномочия субъекта Российской Федерации (упомянyтые в части 1 ст. 44 Федерального закона от 21 декабря 2021 г. № 414-ФЗ и законах субъектов РФ) переданные (делегированные) законом субъекта Российской Федерации (в соотв. со ст. 19 Федерального закона от 6 октября 2003 г. № 131-ФЗ) органам местного самоуправления (с субвенциями из бюджета субъекта Российской Федерации),</t>
    </r>
    <r>
      <rPr>
        <u/>
        <sz val="11"/>
        <rFont val="Calibri"/>
        <family val="2"/>
        <scheme val="minor"/>
      </rPr>
      <t xml:space="preserve"> без учета делегированных федеральных государственных полномочий, указанных в пп. 10.1.1 и 10.1.2,</t>
    </r>
    <r>
      <rPr>
        <sz val="11"/>
        <rFont val="Calibri"/>
        <family val="2"/>
        <scheme val="minor"/>
      </rPr>
      <t xml:space="preserve"> в т.ч.</t>
    </r>
  </si>
  <si>
    <t>10.1.3.1.</t>
  </si>
  <si>
    <t xml:space="preserve">    в т.ч. переданные муниципальным районам и городским округам с внутригородским делением полномочия по выравниванию бюджетной обеспеченности поселений и внутригородских районов</t>
  </si>
  <si>
    <t>10.1.4.*</t>
  </si>
  <si>
    <r>
      <t xml:space="preserve">Муниципальные образования, органы местного самоуправления которых </t>
    </r>
    <r>
      <rPr>
        <u/>
        <sz val="11"/>
        <rFont val="Calibri"/>
        <family val="2"/>
        <scheme val="minor"/>
      </rPr>
      <t>не осуществляли</t>
    </r>
    <r>
      <rPr>
        <sz val="11"/>
        <rFont val="Calibri"/>
        <family val="2"/>
        <scheme val="minor"/>
      </rPr>
      <t xml:space="preserve"> в 2024 году какие-либо государственные полномочия, обеспеченные субвенциями</t>
    </r>
  </si>
  <si>
    <t>10.2.</t>
  </si>
  <si>
    <t>Имелись ли случаи привлечения к ответственности должностных лиц местного самоуправления за ненадлежащее исполнение отдельных переданных полномочий</t>
  </si>
  <si>
    <t>10.2.1.</t>
  </si>
  <si>
    <t xml:space="preserve">  к административной ответственности</t>
  </si>
  <si>
    <t>10.2.2.</t>
  </si>
  <si>
    <t xml:space="preserve">  к уголовной ответственности</t>
  </si>
  <si>
    <t>10.3.*</t>
  </si>
  <si>
    <r>
      <t xml:space="preserve">Муниципальные образования, органы местного самоуправления которых не осуществляли в 2024 году часть полномочий, изначально закрепленных за ними федеральными законами, в связи с их </t>
    </r>
    <r>
      <rPr>
        <u/>
        <sz val="11"/>
        <rFont val="Calibri"/>
        <family val="2"/>
        <scheme val="minor"/>
      </rPr>
      <t>перераспре-делением</t>
    </r>
    <r>
      <rPr>
        <sz val="11"/>
        <rFont val="Calibri"/>
        <family val="2"/>
        <scheme val="minor"/>
      </rPr>
      <t xml:space="preserve"> (в соответствии с ч. 1.2 ст. 17 Федерального закона № 131-ФЗ и законом субъекта РФ)</t>
    </r>
  </si>
  <si>
    <t>10.3.1.</t>
  </si>
  <si>
    <t xml:space="preserve">  в т.ч. полномочия в области градостроительства и землепользования</t>
  </si>
  <si>
    <t>10.3.1.1.</t>
  </si>
  <si>
    <t xml:space="preserve">  в т.ч. полномочия по распоряжению земельными участками, государственная собственность на которые не разграничена (ст. 3.3 Федерального закона от 25 октября 2001 г. № 137-ФЗ)</t>
  </si>
  <si>
    <t>10.3.2.</t>
  </si>
  <si>
    <t xml:space="preserve">  в т.ч. полномочия территориального планирования</t>
  </si>
  <si>
    <t>10.3.3.</t>
  </si>
  <si>
    <t xml:space="preserve">  в т.ч. полномочия в области электро-, тепло-, газо-, водоснабжения и водоотведения</t>
  </si>
  <si>
    <t>10.3.4.</t>
  </si>
  <si>
    <t xml:space="preserve">  в т.ч. полномочия в области наружной рекламы</t>
  </si>
  <si>
    <t>10.3.5.</t>
  </si>
  <si>
    <t xml:space="preserve">  в т.ч. полномочия в области транспортного обслуживания населения, перевозок пассажиров и багажа</t>
  </si>
  <si>
    <t>10.3.6.</t>
  </si>
  <si>
    <t xml:space="preserve">  в т.ч. полномочия в области муниципального жилищного контроля и других полномочий в жилищной сфере</t>
  </si>
  <si>
    <t>10.3.7.</t>
  </si>
  <si>
    <t xml:space="preserve">  в т.ч. полномочия в области дорожной деятельности</t>
  </si>
  <si>
    <t>10.3.8.</t>
  </si>
  <si>
    <t xml:space="preserve">  в т.ч. полномочия в сфере благоустройства</t>
  </si>
  <si>
    <t>10.3.9.</t>
  </si>
  <si>
    <t xml:space="preserve">  в т.ч. полномочия в области образования</t>
  </si>
  <si>
    <t>10.3.10.</t>
  </si>
  <si>
    <t xml:space="preserve">  в т.ч. полномочия в области оказания медицинской помощи населению</t>
  </si>
  <si>
    <t>10.3.11.</t>
  </si>
  <si>
    <t xml:space="preserve">  в т.ч. полномочия в области охраны окружающей среды</t>
  </si>
  <si>
    <t>10.3.12.</t>
  </si>
  <si>
    <t xml:space="preserve">  в т.ч. полномочия в области торговли, общественного питания и бытового обслуживания</t>
  </si>
  <si>
    <t>10.3.13.</t>
  </si>
  <si>
    <t xml:space="preserve">  в т.ч. полномочия в сфере ритуальных услуг</t>
  </si>
  <si>
    <t>10.3.14.</t>
  </si>
  <si>
    <t xml:space="preserve">  в т.ч. полномочия в сфере миниципального контроля</t>
  </si>
  <si>
    <t>10.3.14.1.</t>
  </si>
  <si>
    <t xml:space="preserve">     муниципальный контроль за исполнением единой теплоснабжающей организацией обязательств по строительству, реконструкции и (или) модернизации объектов теплоснабжения</t>
  </si>
  <si>
    <t>10.3.14.2.</t>
  </si>
  <si>
    <t xml:space="preserve">     муниципальный контроль на автомобильном транспорте, городском наземном электрическом транспорте и в дорожном хозяйстве</t>
  </si>
  <si>
    <t>10.3.14.3.</t>
  </si>
  <si>
    <t xml:space="preserve">     муниципальный жилищный контроль</t>
  </si>
  <si>
    <t>10.3.14.4.</t>
  </si>
  <si>
    <t xml:space="preserve">     муниципальный контроль в сфере благоустройства</t>
  </si>
  <si>
    <t>10.3.14.5.</t>
  </si>
  <si>
    <t xml:space="preserve">     муниципальный земельный контроль</t>
  </si>
  <si>
    <t>10.3.14.6.</t>
  </si>
  <si>
    <t xml:space="preserve">     муниципальный контроль в области охраны и использования особо охраняемых природных территорий местного значения</t>
  </si>
  <si>
    <t>10.3.14.7.</t>
  </si>
  <si>
    <t xml:space="preserve">     муниципальный лесной контроль</t>
  </si>
  <si>
    <t>10.3.15.</t>
  </si>
  <si>
    <t xml:space="preserve">  иные полномочия</t>
  </si>
  <si>
    <t>10.3(1).*</t>
  </si>
  <si>
    <t>Полномочия перераспределены только в отношении части муниципальных образований данного вида</t>
  </si>
  <si>
    <t>10.3(2).*</t>
  </si>
  <si>
    <t>Обжаловались ли в судах в 2014-2024 годах законы субъекта Российской Федерации о перераспределении полномочий</t>
  </si>
  <si>
    <t>10.4.</t>
  </si>
  <si>
    <t>Сельские поселения, за которыми в течение 2024 г. были закреплены дополнительные (сверх гарантированного статьей 14 Федерального закона № 131-ФЗ минимума) полномочия по решению вопросов местного значения, в т.ч.:</t>
  </si>
  <si>
    <t>10.4.1.*</t>
  </si>
  <si>
    <t xml:space="preserve">  от 1 до 10 дополнительных вопросов местного значения либо полномочий</t>
  </si>
  <si>
    <t>10.4.2*.</t>
  </si>
  <si>
    <t xml:space="preserve">  11 и более вопросов местного значения (но не все вопросы местного значения)</t>
  </si>
  <si>
    <t>10.4.3.*</t>
  </si>
  <si>
    <t xml:space="preserve">  все вопросы местного значения (кроме вопросов, закрепление которых за сельскими поселениями невозможно)</t>
  </si>
  <si>
    <t>10.5.*</t>
  </si>
  <si>
    <t>Внутригородские районы, за которыми закреплены дополнительные вопросы местного значения и (или) дополнительные полномочия на условиях разграничения полномочий с городским округом с внутригородским делением</t>
  </si>
  <si>
    <t>10.6.</t>
  </si>
  <si>
    <r>
      <t xml:space="preserve">Количество действовавших в 2024 году </t>
    </r>
    <r>
      <rPr>
        <u/>
        <sz val="11"/>
        <rFont val="Calibri"/>
        <family val="2"/>
        <scheme val="minor"/>
      </rPr>
      <t xml:space="preserve">соглашений </t>
    </r>
    <r>
      <rPr>
        <sz val="11"/>
        <rFont val="Calibri"/>
        <family val="2"/>
        <scheme val="minor"/>
      </rPr>
      <t>между органами местного самоуправления поселений и муниципальных районов соглашений о передаче полномочий, заключенных в соотв. со ст. 15 Федерального закона № 131-ФЗ:</t>
    </r>
  </si>
  <si>
    <t>10.6.1.</t>
  </si>
  <si>
    <t xml:space="preserve">  только от муниципального района поселению (поселениям)</t>
  </si>
  <si>
    <t>10.6.2.</t>
  </si>
  <si>
    <t xml:space="preserve">  только от поселения (поселений) муниципальному району</t>
  </si>
  <si>
    <t xml:space="preserve">10.6.3. </t>
  </si>
  <si>
    <t xml:space="preserve">  от муниципального района поселению (поселениям) 
и от поселения (поселений) муниципальному району одновременно (в рамках одного соглашения)</t>
  </si>
  <si>
    <t>10.7.*</t>
  </si>
  <si>
    <t>Муниципальные районы, часть полномочий которых осуществлялась в 2024 году поселениями согласно соглашениям между органами местного самоуправления</t>
  </si>
  <si>
    <t>10.8.</t>
  </si>
  <si>
    <t>Поселения, осуществлявшие в 2024 году часть полномочий муниципальных районов согласно соглашениям между органами местного самоуправления</t>
  </si>
  <si>
    <t>10.9.*</t>
  </si>
  <si>
    <t>Муниципальные районы, осуществлявшие в 2024 году часть полномочий поселений согласно соглашениям между органами местного самоуправления</t>
  </si>
  <si>
    <t>10.10.</t>
  </si>
  <si>
    <t>Поселения, часть полномочий которых осуществлялась в 2024 году муниципальными районами согласно соглашениям между органами местного самоуправления</t>
  </si>
  <si>
    <t>10.10.1.*</t>
  </si>
  <si>
    <t xml:space="preserve">   в т.ч. полномочий по утверждению и исполнению бюджета поселения</t>
  </si>
  <si>
    <t>10.10.2.</t>
  </si>
  <si>
    <t xml:space="preserve">  11 и более полномочий по решению вопросов местного значения</t>
  </si>
  <si>
    <t>10.10.3.*</t>
  </si>
  <si>
    <t xml:space="preserve">  всех полномочий по решению вопросов местного значения поселений</t>
  </si>
  <si>
    <t>10.11.*</t>
  </si>
  <si>
    <t>Муниципальные образования, в которых органы местного самоуправления совершали нотариальные действия в 2024 году в связи с отсутствием нотариуса</t>
  </si>
  <si>
    <t>10.12.</t>
  </si>
  <si>
    <t>Муниципальные образования, органы местного самоуправления которых принимали в 2024 г. организационное и финансовое участие в реализации национальных проектов (программ), а также региональных проектов, направленных на реализацию национальных проектов (программ) в т.ч. по направлениям:</t>
  </si>
  <si>
    <t>10.12.1.</t>
  </si>
  <si>
    <t xml:space="preserve">  демография</t>
  </si>
  <si>
    <t>10.12.2.</t>
  </si>
  <si>
    <t xml:space="preserve">  здравоохранение</t>
  </si>
  <si>
    <t>10.12.3.</t>
  </si>
  <si>
    <t xml:space="preserve">  образование</t>
  </si>
  <si>
    <t>10.12.4.</t>
  </si>
  <si>
    <t xml:space="preserve">  жилье и городская среда</t>
  </si>
  <si>
    <t>10.12.5.</t>
  </si>
  <si>
    <t xml:space="preserve">  экология</t>
  </si>
  <si>
    <t>10.12.6.</t>
  </si>
  <si>
    <t xml:space="preserve">  безопасные и качественные автомобильные дороги</t>
  </si>
  <si>
    <t>10.12.7.</t>
  </si>
  <si>
    <t xml:space="preserve">  производительность труда и поддержка занятости</t>
  </si>
  <si>
    <t>10.12.8.</t>
  </si>
  <si>
    <t xml:space="preserve">  наука</t>
  </si>
  <si>
    <t>10.12.9.</t>
  </si>
  <si>
    <t xml:space="preserve">  цифровая экономика</t>
  </si>
  <si>
    <t>10.12.10.</t>
  </si>
  <si>
    <t xml:space="preserve">  культура</t>
  </si>
  <si>
    <t>10.12.11.</t>
  </si>
  <si>
    <t xml:space="preserve">  малое и среднее предпринимательство и поддержка индивидуальной предпринимательской инициативы</t>
  </si>
  <si>
    <t>10.12.12.</t>
  </si>
  <si>
    <t xml:space="preserve">  международная кооперация и экспорт</t>
  </si>
  <si>
    <t>10.13*</t>
  </si>
  <si>
    <t>Имеются ли случаи опережающего правового регулирования органов местного самоуправления при отсутствии правового регулирования на уровне субъекта Российской Федерации</t>
  </si>
  <si>
    <t>11.</t>
  </si>
  <si>
    <t>Представительные органы муниципальных образований</t>
  </si>
  <si>
    <t>11.1.*</t>
  </si>
  <si>
    <t>Представительные органы муниципальных районов и городских округов с внутригородским делением, которые должны формироваться:</t>
  </si>
  <si>
    <t>11.1.1.*</t>
  </si>
  <si>
    <t xml:space="preserve">  в соответствии с законами субъектов Российской Федерации:</t>
  </si>
  <si>
    <t>11.1.1.1.*</t>
  </si>
  <si>
    <t xml:space="preserve">    депутаты избираются на муниципальных выборах (явное указание)</t>
  </si>
  <si>
    <t>11.1.1.2.*</t>
  </si>
  <si>
    <t xml:space="preserve">    состав формируется методом делегирования (явное указание)</t>
  </si>
  <si>
    <t>11.1.1.3.*</t>
  </si>
  <si>
    <t xml:space="preserve">    допускаются оба способа формирования представительного органа</t>
  </si>
  <si>
    <t>11.1.1.4.*</t>
  </si>
  <si>
    <t xml:space="preserve">    порядок формирования представительного органа не указан в явном виде и зависит от каких-либо условий (критериев), обозначенных в законе.</t>
  </si>
  <si>
    <t>11.1.2.*</t>
  </si>
  <si>
    <t xml:space="preserve">  в соответствии с действующими уставами муниципальных образований:</t>
  </si>
  <si>
    <t>11.1.2.1.*</t>
  </si>
  <si>
    <t xml:space="preserve">    на муниципальных выборах</t>
  </si>
  <si>
    <t>11.1.2.2.*</t>
  </si>
  <si>
    <t xml:space="preserve">    методом делегирования</t>
  </si>
  <si>
    <t>11.2.*</t>
  </si>
  <si>
    <t>Поселения, в которых представительные органы не подлежат формированию в связи с осуществлением их полномочий сходом граждан</t>
  </si>
  <si>
    <t>11.3.</t>
  </si>
  <si>
    <t>Количество представительных органов муниципальных образований подлежащих формированию (избранию) в соответствии с законодательством</t>
  </si>
  <si>
    <t>11.4.</t>
  </si>
  <si>
    <t>Действующие составы представительных органов, фактически сформированные:</t>
  </si>
  <si>
    <t>11.4.1.*</t>
  </si>
  <si>
    <t xml:space="preserve">  на муниципальных выборах, в т.ч.</t>
  </si>
  <si>
    <t>11.4.1.1.*</t>
  </si>
  <si>
    <t xml:space="preserve">    по спискам кандидатов (пропорциональная система)</t>
  </si>
  <si>
    <t>11.4.1.2.</t>
  </si>
  <si>
    <t xml:space="preserve">    по одномандатным и многомандатным округам (мажоритарная система)</t>
  </si>
  <si>
    <t>11.4.1.3.*</t>
  </si>
  <si>
    <t xml:space="preserve">    по смешанной системе (часть депутатов избраны по спискам, часть по округам)</t>
  </si>
  <si>
    <t>11.4.2.*</t>
  </si>
  <si>
    <t xml:space="preserve">  методом делегирования, в т.ч.</t>
  </si>
  <si>
    <t>11.4.2.1.</t>
  </si>
  <si>
    <t xml:space="preserve">    по равной норме представительства</t>
  </si>
  <si>
    <t>11.4.2.2.</t>
  </si>
  <si>
    <t xml:space="preserve">    с применением квот поселений (внутригородских районов)</t>
  </si>
  <si>
    <t xml:space="preserve">11.5. </t>
  </si>
  <si>
    <t>Представительные органы, избранные на муниципальных выборах, по году избрания в действующем составе:</t>
  </si>
  <si>
    <t>11.5.1.</t>
  </si>
  <si>
    <t xml:space="preserve">  в 2021 г. и ранее</t>
  </si>
  <si>
    <t>11.5.2.</t>
  </si>
  <si>
    <t xml:space="preserve">  в 2022 - 2023 гг.</t>
  </si>
  <si>
    <t>11.5.3.</t>
  </si>
  <si>
    <t xml:space="preserve">  в 2024 г.</t>
  </si>
  <si>
    <t xml:space="preserve">11.6. </t>
  </si>
  <si>
    <t>Представительные органы, формируемые по системе делегирования:</t>
  </si>
  <si>
    <t>11.6.1.</t>
  </si>
  <si>
    <t>11.6.2.</t>
  </si>
  <si>
    <t>11.6.3.</t>
  </si>
  <si>
    <t xml:space="preserve">11.7. </t>
  </si>
  <si>
    <r>
      <t xml:space="preserve">Количество </t>
    </r>
    <r>
      <rPr>
        <u/>
        <sz val="11"/>
        <rFont val="Calibri"/>
        <family val="2"/>
        <scheme val="minor"/>
      </rPr>
      <t>действующих</t>
    </r>
    <r>
      <rPr>
        <sz val="11"/>
        <rFont val="Calibri"/>
        <family val="2"/>
        <scheme val="minor"/>
      </rPr>
      <t xml:space="preserve"> представительных органов по </t>
    </r>
    <r>
      <rPr>
        <u/>
        <sz val="11"/>
        <rFont val="Calibri"/>
        <family val="2"/>
        <scheme val="minor"/>
      </rPr>
      <t>установленной</t>
    </r>
    <r>
      <rPr>
        <sz val="11"/>
        <rFont val="Calibri"/>
        <family val="2"/>
        <scheme val="minor"/>
      </rPr>
      <t xml:space="preserve"> (для избранных на выборах - на момент избрания) численности депутатов:</t>
    </r>
  </si>
  <si>
    <t>11.7.1.</t>
  </si>
  <si>
    <t xml:space="preserve">  7 депутатов</t>
  </si>
  <si>
    <t>11.7.2.</t>
  </si>
  <si>
    <t xml:space="preserve">  8-10 депутатов</t>
  </si>
  <si>
    <t>11.7.3.</t>
  </si>
  <si>
    <t xml:space="preserve">  11-20 депутатов</t>
  </si>
  <si>
    <t>11.7.4.</t>
  </si>
  <si>
    <t xml:space="preserve">  21-30 депутатов</t>
  </si>
  <si>
    <t>11.7.5.</t>
  </si>
  <si>
    <t xml:space="preserve">  31-50 депутатов</t>
  </si>
  <si>
    <t>11.7.6.*</t>
  </si>
  <si>
    <t xml:space="preserve">  51 и более депутатов</t>
  </si>
  <si>
    <t xml:space="preserve">11.8. </t>
  </si>
  <si>
    <r>
      <t xml:space="preserve">Количество действующих представительных органов согласно </t>
    </r>
    <r>
      <rPr>
        <u/>
        <sz val="11"/>
        <rFont val="Calibri"/>
        <family val="2"/>
        <scheme val="minor"/>
      </rPr>
      <t>фактической</t>
    </r>
    <r>
      <rPr>
        <sz val="11"/>
        <rFont val="Calibri"/>
        <family val="2"/>
        <scheme val="minor"/>
      </rPr>
      <t xml:space="preserve"> численности депутатов:</t>
    </r>
  </si>
  <si>
    <t>11.8.1.</t>
  </si>
  <si>
    <t xml:space="preserve">  7 или менее депутатов</t>
  </si>
  <si>
    <t>11.8.2.</t>
  </si>
  <si>
    <t>11.8.3.</t>
  </si>
  <si>
    <t>11.8.4.</t>
  </si>
  <si>
    <t>11.8.5.</t>
  </si>
  <si>
    <t>11.8.6.*</t>
  </si>
  <si>
    <t xml:space="preserve">  51 или более депутатов</t>
  </si>
  <si>
    <t>11.9.</t>
  </si>
  <si>
    <t>Действующие представительные органы муниципальных образований по соотношению замещенных и вакантных мандатов:</t>
  </si>
  <si>
    <t>11.9.1.</t>
  </si>
  <si>
    <t xml:space="preserve">   действующие в полном составе (все мандаты замещены)</t>
  </si>
  <si>
    <t>11.9.2.</t>
  </si>
  <si>
    <t xml:space="preserve">  действующие в неполном, но правомочном составе (вакантных мандатов не более трети)</t>
  </si>
  <si>
    <t>11.9.3.*</t>
  </si>
  <si>
    <t xml:space="preserve">  оставшиеся в неправомочном составе (более трети мандатов вакантны), но не распущенные</t>
  </si>
  <si>
    <t>11.10.</t>
  </si>
  <si>
    <t>Муниципальные образования, в которых представительные органы не сформированы по следующим причинам:</t>
  </si>
  <si>
    <t>11.10.1.*</t>
  </si>
  <si>
    <t xml:space="preserve">  полномочия представительных органов осуществляются сходами граждан</t>
  </si>
  <si>
    <t>11.10.2.*</t>
  </si>
  <si>
    <t xml:space="preserve">  полномочия ранее действовавших составов прекращены (в том числе в связи с роспуском или самороспуском), новые еще не сформированы</t>
  </si>
  <si>
    <t>11.10.3.*</t>
  </si>
  <si>
    <t xml:space="preserve">  во вновь образованных и (или) преобразованных муниципальных образованиях выборы (процедуры формирования) еще не проводились либо не привели к формированию правомочного состава</t>
  </si>
  <si>
    <t>11.11.*</t>
  </si>
  <si>
    <t>Представительные органы утративших статус и (или) преобразованных муниципальных образований, продолжающие работу до завершения переходного периода</t>
  </si>
  <si>
    <t>11.12.</t>
  </si>
  <si>
    <t>11.12.1.</t>
  </si>
  <si>
    <t xml:space="preserve">  в т.ч с участием депутатов (части или всего состава) в режиме видеоконференцсвязи</t>
  </si>
  <si>
    <t>12.</t>
  </si>
  <si>
    <t>Депутаты и депутатские мандаты в представительных органах муниципальных образований</t>
  </si>
  <si>
    <t>12.1.</t>
  </si>
  <si>
    <r>
      <t xml:space="preserve">Действующие депутаты, которые были ранее избраны 
</t>
    </r>
    <r>
      <rPr>
        <u/>
        <sz val="11"/>
        <rFont val="Calibri"/>
        <family val="2"/>
        <scheme val="minor"/>
      </rPr>
      <t>на муниципальных выборах</t>
    </r>
    <r>
      <rPr>
        <sz val="11"/>
        <rFont val="Calibri"/>
        <family val="2"/>
        <scheme val="minor"/>
      </rPr>
      <t xml:space="preserve"> (и сохраняют к концу 2024 года свои депутатские полномочия), в т.ч.:</t>
    </r>
  </si>
  <si>
    <t>12.1.1.</t>
  </si>
  <si>
    <t xml:space="preserve">  в составе списков кандидатов по пропорциональной системе (включая депутатов-списочников, избранных при применении смешанной системы)</t>
  </si>
  <si>
    <t>12.1.2.</t>
  </si>
  <si>
    <t xml:space="preserve">  по одномандатным и многомандатным округам (включая депутатов, избранных по округам при применении смешанной системы)</t>
  </si>
  <si>
    <t>12.1.3.</t>
  </si>
  <si>
    <t xml:space="preserve">  по форме осуществления полномочий:</t>
  </si>
  <si>
    <t>12.1.3.1.</t>
  </si>
  <si>
    <t xml:space="preserve">    работающие на постоянной основе</t>
  </si>
  <si>
    <t>12.1.3.2.</t>
  </si>
  <si>
    <t xml:space="preserve">    работающие на непостоянной основе</t>
  </si>
  <si>
    <t xml:space="preserve">12.2. </t>
  </si>
  <si>
    <r>
      <t xml:space="preserve">Действующие депутаты муниципальных районов и городских округов с внутригородским делением, избранные методом </t>
    </r>
    <r>
      <rPr>
        <u/>
        <sz val="11"/>
        <rFont val="Calibri"/>
        <family val="2"/>
        <scheme val="minor"/>
      </rPr>
      <t>делегирования</t>
    </r>
    <r>
      <rPr>
        <sz val="11"/>
        <rFont val="Calibri"/>
        <family val="2"/>
        <scheme val="minor"/>
      </rPr>
      <t>, в т.ч.:</t>
    </r>
  </si>
  <si>
    <t>12.2.1.</t>
  </si>
  <si>
    <t xml:space="preserve">  от городских поселений</t>
  </si>
  <si>
    <t>12.2.2.</t>
  </si>
  <si>
    <t xml:space="preserve">  от сельских поселений</t>
  </si>
  <si>
    <t>12.2.3.</t>
  </si>
  <si>
    <t xml:space="preserve">  от внутригородских районов</t>
  </si>
  <si>
    <t>12.2.4.</t>
  </si>
  <si>
    <t>12.2.4.1.</t>
  </si>
  <si>
    <t>12.2.4.2.</t>
  </si>
  <si>
    <t>12.3.</t>
  </si>
  <si>
    <t>Депутаты, имеющие депутатский статус в двух муниципальных образованиях:</t>
  </si>
  <si>
    <t>12.3.1.</t>
  </si>
  <si>
    <t xml:space="preserve">  в муниципальном районе и городском поселении</t>
  </si>
  <si>
    <t>12.3.2.</t>
  </si>
  <si>
    <t xml:space="preserve">  в муниципальном районе и сельском поселении</t>
  </si>
  <si>
    <t>12.3.3.</t>
  </si>
  <si>
    <t xml:space="preserve">  в городском округе с внутригородским делением и внутригородском районе</t>
  </si>
  <si>
    <t>12.4.</t>
  </si>
  <si>
    <t>Общее число замещенных депутатских мандатов</t>
  </si>
  <si>
    <t>12.5.</t>
  </si>
  <si>
    <t>Общая численность депутатского корпуса (с учетом двойного статуса депутатов, избранных методом делегирования)</t>
  </si>
  <si>
    <t>12.6.</t>
  </si>
  <si>
    <r>
      <t xml:space="preserve">Вакантные депутатские мандаты в </t>
    </r>
    <r>
      <rPr>
        <u/>
        <sz val="11"/>
        <rFont val="Calibri"/>
        <family val="2"/>
        <scheme val="minor"/>
      </rPr>
      <t xml:space="preserve">действующих </t>
    </r>
    <r>
      <rPr>
        <sz val="11"/>
        <rFont val="Calibri"/>
        <family val="2"/>
        <scheme val="minor"/>
      </rPr>
      <t>представительных органах, подлежащие замещению</t>
    </r>
  </si>
  <si>
    <t>12.7.</t>
  </si>
  <si>
    <t>Общее число депутатских мандатов (как замещенных, так и не замещенных) в действующих представительных органах муниципальных образований</t>
  </si>
  <si>
    <t>12.8.</t>
  </si>
  <si>
    <t>Депутатские мандаты, подлежащие замещению в распущенных или еще не сформированных представительных органах</t>
  </si>
  <si>
    <t>12.9.</t>
  </si>
  <si>
    <t>Депутаты утративших статус и (или) преобразованных муниципальных образований, продолжающие работу до завершения переходного периода</t>
  </si>
  <si>
    <t>12.10.</t>
  </si>
  <si>
    <t>Размер среднемесячной номинальной начисленной заработной платы депутатов, работающих на постоянной основе (за исключением депутатов, являющихся главами муниципальных образований) (рублей)</t>
  </si>
  <si>
    <t>12.11.</t>
  </si>
  <si>
    <t>Число муниципальных образований, в которых муниципальными правовыми актами предусмотрено предоставление лицам, исполнявшим полномочия депутата на постоянной основе, прекратившим свои полномочия (в том числе досрочно) и в период исполнения полномочий достигшим пенсионного возраста или потерявшим трудоспособность, ежемесячных денежных выплат в связи с прекращением полномочий (доплат к пенсии или аналогичных выплат)</t>
  </si>
  <si>
    <t>12.12.</t>
  </si>
  <si>
    <t>Число лиц в муниципальном образовании, исполнявших полномочия депутата на постоянной основе, прекративших свои полномочия (в том числе досрочно) и в период исполнения полномочий достигших пенсионного возраста или потерявшим трудоспособность, которые являются получателями ежемесячных денежных выплат в связи с прекращением полномочий (доплат к пенсии или аналогичных выплат)</t>
  </si>
  <si>
    <t>12.13.</t>
  </si>
  <si>
    <t>Среднемесячный размер денежных выплат (доплат к пенсии или аналогичных выплат), выплачиваемых в связи с прекращением полномочий лицам, исполнявшим полномочия депутата на постоянной основе, прекратившим свои полномочия (в том числе досрочно) и в период исполнения полномочий достигшим пенсионного возраста или потерявшим трудоспособность (рублей)</t>
  </si>
  <si>
    <t xml:space="preserve">13. </t>
  </si>
  <si>
    <t>Главы муниципальных образований</t>
  </si>
  <si>
    <t>13.1.*</t>
  </si>
  <si>
    <t>Установленный порядок избрания глав муниципальных образований в соответствии с федеральными законами и законами субъектов Российской Федерации:</t>
  </si>
  <si>
    <t>13.1.1.*</t>
  </si>
  <si>
    <t xml:space="preserve">  муниципальные выборы (явное указание);</t>
  </si>
  <si>
    <t>13.1.2.*</t>
  </si>
  <si>
    <t xml:space="preserve">  депутатами представительного органа из своего состава (явное указание);</t>
  </si>
  <si>
    <t>13.1.3.*</t>
  </si>
  <si>
    <t xml:space="preserve">  из числа кандидатов, представленных конкурсными комиссиями (явное указание)</t>
  </si>
  <si>
    <t>13.1.4. *</t>
  </si>
  <si>
    <t xml:space="preserve">  иное (не указан, обозначен в виде возможных вариантов или поставлен в зависимость от каких-либо условий)</t>
  </si>
  <si>
    <t>13.2.*</t>
  </si>
  <si>
    <t>Место глав муниципальных образований в системе органов местного самоуправления в соответствии с законами субъектов Российской Федерации:</t>
  </si>
  <si>
    <t>13.2.1.*</t>
  </si>
  <si>
    <t xml:space="preserve">  председатели представительных органов (явное указание)</t>
  </si>
  <si>
    <t>13.2.2.*</t>
  </si>
  <si>
    <t xml:space="preserve">  главы местных администраций (явное указание)</t>
  </si>
  <si>
    <t>13.2.3.*</t>
  </si>
  <si>
    <t xml:space="preserve">  главы местных администраций и председатели представительных органов одновременно (явное указание)</t>
  </si>
  <si>
    <t>13.2.4.*</t>
  </si>
  <si>
    <t xml:space="preserve">  иное (не указано, обозначено в виде возможных вариантов или поставлено в зависимость от каких-либо условий)</t>
  </si>
  <si>
    <t>13.3.*</t>
  </si>
  <si>
    <t>Количество муниципальных образований, подпадающих под критерии, установленные законом субъекта Российской Федерации в соответствии с п.2 резолютивной части постановления  Конституционного Суда Российской Федерации от 1 декабря 2015 г. 
№30-П (при наличии таких критериев)</t>
  </si>
  <si>
    <t>13.4.*</t>
  </si>
  <si>
    <t>Главы муниципальных образований по сочетанию способа избрания и места в системе органов местного самоуправления (в соответствии с действующими уставами муниципальных образований):</t>
  </si>
  <si>
    <t>13.4.1.*</t>
  </si>
  <si>
    <t xml:space="preserve">  избираемые на муниципальных выборах - председатели представительных органов</t>
  </si>
  <si>
    <t>13.4.2.*</t>
  </si>
  <si>
    <t xml:space="preserve">  избираемые на муниципальных выборах - главы местных администраций</t>
  </si>
  <si>
    <t>13.4.3.*</t>
  </si>
  <si>
    <t xml:space="preserve">  избираемые на муниципальных выборах - председатели представительных органов и главы местных администраций</t>
  </si>
  <si>
    <t>13.4.4.*</t>
  </si>
  <si>
    <t xml:space="preserve">  избираемые депутатами из своего состава - председатели представительных органов</t>
  </si>
  <si>
    <t>13.4.5.*</t>
  </si>
  <si>
    <t xml:space="preserve">  избираемые депутатами из своего состава - главы местных администраций</t>
  </si>
  <si>
    <t>13.4.6.*</t>
  </si>
  <si>
    <t xml:space="preserve">  избираемые депутатами из своего состава - председатели представительных органов и главы местных администраций</t>
  </si>
  <si>
    <t>13.4.7.*</t>
  </si>
  <si>
    <t xml:space="preserve">  избираемые по конкурсу - главы местных администраций</t>
  </si>
  <si>
    <t>13.4.8.*</t>
  </si>
  <si>
    <t xml:space="preserve">  избираемые по конкурсу - председатели представительных органов и главы местных администраций</t>
  </si>
  <si>
    <t>13.4.9.*</t>
  </si>
  <si>
    <t xml:space="preserve">  избираемые на сходах - главы местных администраций</t>
  </si>
  <si>
    <t>13.5.*</t>
  </si>
  <si>
    <t>Действующие главы муниципальных образований по сочетанию способа избрания и фактически исполняемым полномочиям:</t>
  </si>
  <si>
    <t>13.5.1.*</t>
  </si>
  <si>
    <t xml:space="preserve">  избранные на муниципальных выборах - председатели представительных органов</t>
  </si>
  <si>
    <t>13.5.2.*</t>
  </si>
  <si>
    <t xml:space="preserve">  избранные на муниципальных выборах - главы местных администраций</t>
  </si>
  <si>
    <t>13.5.3.*</t>
  </si>
  <si>
    <t xml:space="preserve">  избранные на муниципальных выборах - председатели представительных органов и главы местных администраций</t>
  </si>
  <si>
    <t>13.5.4.*</t>
  </si>
  <si>
    <t xml:space="preserve">  избранные депутатами из своего состава - председатели представительных органов</t>
  </si>
  <si>
    <t>13.5.5.*</t>
  </si>
  <si>
    <t xml:space="preserve">  избранные депутатами из своего состава - главы местных администраций</t>
  </si>
  <si>
    <t>13.5.6.*</t>
  </si>
  <si>
    <t xml:space="preserve">  избранные депутатами из своего состава - председатели представительных органов и главы местных администраций</t>
  </si>
  <si>
    <t>13.5.7.*</t>
  </si>
  <si>
    <t xml:space="preserve">  избранные по конкурсу - главы местных администраций</t>
  </si>
  <si>
    <t>13.5.8.*</t>
  </si>
  <si>
    <t xml:space="preserve">  избранные по конкурсу - председатели представительных органов и главы местных администраций</t>
  </si>
  <si>
    <t>13.5.9.*</t>
  </si>
  <si>
    <t xml:space="preserve">  избранные на сходах - главы местных администраций</t>
  </si>
  <si>
    <t xml:space="preserve">13.6. </t>
  </si>
  <si>
    <t>Главы муниципальных образований, избранные на свои должности (в последний раз):</t>
  </si>
  <si>
    <t>13.6.1.</t>
  </si>
  <si>
    <t>13.6.2.</t>
  </si>
  <si>
    <t>13.6.3.</t>
  </si>
  <si>
    <t>13.7.</t>
  </si>
  <si>
    <t>Действующие главы, возглавляющие данное муниципальное образование (к началу 2025 г.):</t>
  </si>
  <si>
    <t>13.7.1.</t>
  </si>
  <si>
    <t xml:space="preserve">  первый срок </t>
  </si>
  <si>
    <t>13.7.2.</t>
  </si>
  <si>
    <t xml:space="preserve">  второй срок (подряд)</t>
  </si>
  <si>
    <t>13.7.3.</t>
  </si>
  <si>
    <t xml:space="preserve">  третий срок (подряд)</t>
  </si>
  <si>
    <t>13.7.4.</t>
  </si>
  <si>
    <t xml:space="preserve">  четвертый и последующие сроки (подряд)</t>
  </si>
  <si>
    <t>13.7.5.</t>
  </si>
  <si>
    <t xml:space="preserve">  новый срок после перерыва</t>
  </si>
  <si>
    <t>13.8.</t>
  </si>
  <si>
    <t>Действующие главы муниципальных образований по форме осуществления полномочий:</t>
  </si>
  <si>
    <t>13.8.1.</t>
  </si>
  <si>
    <t xml:space="preserve">  работающие на постоянной основе</t>
  </si>
  <si>
    <t>13.8.2.*</t>
  </si>
  <si>
    <t xml:space="preserve">  работающие на непостоянной основе</t>
  </si>
  <si>
    <t>13.9.</t>
  </si>
  <si>
    <t>Главы муниципальных образований, одновременно имеющие статус депутата представительного органа муниципального образования:</t>
  </si>
  <si>
    <t>13.9.1.</t>
  </si>
  <si>
    <t xml:space="preserve">  в одном и том же муниципальном образовании</t>
  </si>
  <si>
    <t>13.9.2.</t>
  </si>
  <si>
    <t xml:space="preserve">  статус главы муниципального района (городского округа с внутригородским делением) - депутата поселения (внутригородского района)</t>
  </si>
  <si>
    <t>13.9.3.</t>
  </si>
  <si>
    <t xml:space="preserve">  статус главы поселения (внутригородского района) - депутата муниципального района (городского округа с внутригородским делением)</t>
  </si>
  <si>
    <t>13.10.*</t>
  </si>
  <si>
    <t>Главы, возглавляющие два муниципальных образования одновременно, в т.ч.:</t>
  </si>
  <si>
    <t>13.10.1.*</t>
  </si>
  <si>
    <t xml:space="preserve">  муниципальный район и городское поселение</t>
  </si>
  <si>
    <t>13.10.2.*</t>
  </si>
  <si>
    <t xml:space="preserve">  муниципальный район и сельское поселение</t>
  </si>
  <si>
    <t>13.10.3.*</t>
  </si>
  <si>
    <t xml:space="preserve">  городской округ с внутригородским делением и внутригородской район</t>
  </si>
  <si>
    <t>13.11.</t>
  </si>
  <si>
    <t>Общее количество глав муниципальных образований 
(с поправкой на возможное совмещение статуса)</t>
  </si>
  <si>
    <t>13.12.*</t>
  </si>
  <si>
    <t>Муниципальные образования, главы которых временно отстранены от должности</t>
  </si>
  <si>
    <t>13.13.</t>
  </si>
  <si>
    <t>Муниципальные образования, в которых должности глав вакантны по следующим причинам:</t>
  </si>
  <si>
    <t>13.13.1.*</t>
  </si>
  <si>
    <t xml:space="preserve">  ранее избранные главы прекратили осуществление своих полномочий, а новые еще не избраны</t>
  </si>
  <si>
    <t>13.13.2.*</t>
  </si>
  <si>
    <t xml:space="preserve">  во вновь образованных и (или) преобразованных муниципальных образованиях выборы главы еще не проводились либо не состоялись</t>
  </si>
  <si>
    <t>13.14.*</t>
  </si>
  <si>
    <t>Главы утративших статус и (или) преобразованных) муниципальных образований, продолжающие работу до завершения переходного периода</t>
  </si>
  <si>
    <t>13.15.</t>
  </si>
  <si>
    <t>Размер среднемесячной номинальной начисленной заработной платы глав муниципальных образований (рублей)</t>
  </si>
  <si>
    <t>13.16.</t>
  </si>
  <si>
    <t>Число муниципальных образований, в которых муниципальными правовыми актами предусмотрено предоставление лицам, замещавшим должность главы муниципального образования, прекратившим свои полномочия (в том числе досрочно) и в период замещения должности достигшим пенсионного возраста или потерявшим трудоспособность, ежемесячных денежных выплат в связи с прекращением полномочий (доплат к пенсии или аналогичных выплат)</t>
  </si>
  <si>
    <t>13.17.</t>
  </si>
  <si>
    <t>Число лиц в муниципальном образовании, замещавших должность главы муниципального образования, прекративших свои полномочия (в том числе досрочно) и в период замещения должности достигших пенсионного возраста или потерявших трудоспособность, которые являются получателями ежемесячных денежных выплат в связи с прекращением полномочий (доплат к пенсии или аналогичных выплат)</t>
  </si>
  <si>
    <t>13.18.</t>
  </si>
  <si>
    <t>Среднемесячный размер денежных выплат (доплат к пенсии или аналогичных выплат), выплачиваемых в связи с прекращением полномочий лицам, замещавшим должность главы муниципального образования, прекратившим свои полномочия (в том числе досрочно) и в период замещения должности достигшим пенсионного возраста или потерявшим трудоспособность (рублей)</t>
  </si>
  <si>
    <t>14.</t>
  </si>
  <si>
    <t>Местные администрации</t>
  </si>
  <si>
    <t>14.1.</t>
  </si>
  <si>
    <t>Муниципальные образования, в которых в соответствии с законодательством и уставами муниципальных образований местные администрации не должны формироваться, в том числе:</t>
  </si>
  <si>
    <t>14.1.1.*</t>
  </si>
  <si>
    <t xml:space="preserve">  поселения - административные центры муниципальных районов,уставами которых предусмотрено возложение полномочий их администраций на администрации районов (в соотв. с ч.2 ст.34 Федерального закона №131-ФЗ)</t>
  </si>
  <si>
    <t>14.1.2.*</t>
  </si>
  <si>
    <t xml:space="preserve">  внутригородские муниципальные образования, в которых местные администрации не формируются  в соответствии с законами субъектов Российской Федерации - городов федерального значения</t>
  </si>
  <si>
    <t>14.2.</t>
  </si>
  <si>
    <t>Муниципальные образования, в которых местные администрации фактически не сформированы либо ликвидированы в том числе:</t>
  </si>
  <si>
    <t>14.2.1.*</t>
  </si>
  <si>
    <t xml:space="preserve">  поселения - административные центры муниципальных районов, полномочия администраций которых исполняются администрациями районов 
(в соотв. с ч.2 ст.34 Федерального закона №131-ФЗ)</t>
  </si>
  <si>
    <t>14.2.2.*</t>
  </si>
  <si>
    <t xml:space="preserve">  внутригородские муниципальные образования, в которых местные администрации не сформированы  в соответствии с законами субъектов Российской Федерации - городов федерального значения</t>
  </si>
  <si>
    <t xml:space="preserve">14.3. </t>
  </si>
  <si>
    <t>Муниципальные образования, в соответствии с уставами которых:</t>
  </si>
  <si>
    <t>14.3.1.</t>
  </si>
  <si>
    <t xml:space="preserve">  местные администрации возглавляются главами муниципальных образований</t>
  </si>
  <si>
    <t>14.3.2.</t>
  </si>
  <si>
    <t xml:space="preserve">  предусматривается назначение глав местных администраций (не глав муниципальных образований) по конкурсу</t>
  </si>
  <si>
    <t>14.4.</t>
  </si>
  <si>
    <t>Главы муниципальных образований, возглавляющие местные администрации</t>
  </si>
  <si>
    <t xml:space="preserve">14.5. </t>
  </si>
  <si>
    <t>Главы местных администраций (не главы муниципальных образований), назначенные по конкурсу</t>
  </si>
  <si>
    <t>14.6.*</t>
  </si>
  <si>
    <t xml:space="preserve"> Главы местных администраций, назначенные по конкурсу и временно отстраненные от должности</t>
  </si>
  <si>
    <t>14.7.*</t>
  </si>
  <si>
    <t>Вакантные должности глав местных администраций (не глав муниципальных образований), подлежащие замещению по конкурсу</t>
  </si>
  <si>
    <t>14.8.*</t>
  </si>
  <si>
    <t xml:space="preserve"> Главы местных администраций, возглавляющие администрации утративших статус и (или) преобразованных муниципальных образований, назначенные по конкурсу и продолжающие работу до завершения переходного периода</t>
  </si>
  <si>
    <t>14.9.</t>
  </si>
  <si>
    <t>Муниципальные образования, в которых утвержденная структура местной администрации предусматривает создание:</t>
  </si>
  <si>
    <t>14.9.1.</t>
  </si>
  <si>
    <t xml:space="preserve">  отраслевых (функциональных) органов местной администрации</t>
  </si>
  <si>
    <t>14.9.2.</t>
  </si>
  <si>
    <t xml:space="preserve">   территориальных органов местной администрации</t>
  </si>
  <si>
    <t>14.10.</t>
  </si>
  <si>
    <t>Число действующих отраслевых (функциональных) органов местных администраций</t>
  </si>
  <si>
    <t>14.11.</t>
  </si>
  <si>
    <t>Число действующих территориальных органов местных администраций</t>
  </si>
  <si>
    <t>15.</t>
  </si>
  <si>
    <t>Контрольно-счетные органы муниципальных образований</t>
  </si>
  <si>
    <t>15.1.</t>
  </si>
  <si>
    <t>Муниципальные образования, в которых предусмотрены следующие формы осуществления внешнего финансового контроля:</t>
  </si>
  <si>
    <t>15.1.1.</t>
  </si>
  <si>
    <t xml:space="preserve">  создание контрольно-счетных органов</t>
  </si>
  <si>
    <t>15.1.2.</t>
  </si>
  <si>
    <t xml:space="preserve">  передача полномочий по осуществлению внешнего финансового контроля контрольно-счетным органам другого уровня</t>
  </si>
  <si>
    <t>15.1.3.*</t>
  </si>
  <si>
    <t xml:space="preserve">  иное (либо вопрос осуществления внешнего финансового контроля не урегулирован)</t>
  </si>
  <si>
    <t>15.2.</t>
  </si>
  <si>
    <t>Количество действующих контрольно-счетных органов муниципальных образований</t>
  </si>
  <si>
    <t>15.3.</t>
  </si>
  <si>
    <t>Общее число членов контрольно-счетных органов муниципальных образований (включая их председателей, заместителей председателей и аудиторов)</t>
  </si>
  <si>
    <t>15.3.1.</t>
  </si>
  <si>
    <t xml:space="preserve">  в т.ч. работающих на постоянной (штатной) основе</t>
  </si>
  <si>
    <t>15.4.</t>
  </si>
  <si>
    <t>Размер среднемесячной номинальной начисленной заработной платы членов контрольно-счетных органов муниципальных образований (включая их председателей, заместителей председателей и аудиторов) (рублей)</t>
  </si>
  <si>
    <t>15.5.</t>
  </si>
  <si>
    <t>Число муниципальных образований, в которых муниципальными правовыми актами предусмотрено предоставление лицам, замещавшим должности членов контрольно-счетных органов муниципальных образований (включая их председателей, заместителей председателей и аудиторов), прекратившим свои полномочия (в том числе досрочно) и в период замещения должности достигшим пенсионного возраста или потерявшим трудоспособность, ежемесячных денежных выплат в связи с прекращением полномочий (доплат к пенсии или аналогичных выплат)</t>
  </si>
  <si>
    <t>15.6.</t>
  </si>
  <si>
    <t>Число лиц в муниципальном образовании, замещавших должности членов контрольно-счетных органов муниципальных образований (включая их председателей, заместителей председателей и аудиторов), прекративших свои полномочия (в том числе досрочно) и в период замещения должности достигших пенсионного возраста или потерявших трудоспособность, которые являются получателями ежемесячных денежных выплат в связи с прекращением полномочий (доплат к пенсии или аналогичных выплат)</t>
  </si>
  <si>
    <t>15.7.</t>
  </si>
  <si>
    <t>Среднемесячный размер денежных выплат (доплат к пенсии или аналогичных выплат), выплачиваемых в связи с прекращением полномочий лицам, замещавшим должности членов контрольно-счетных органов муниципальных образований (включая их председателей, заместителей председателей и аудиторов), прекратившим свои полномочия (в том числе досрочно) и в период замещения должности достигшим пенсионного возраста или потерявшим трудоспособность (рублей)</t>
  </si>
  <si>
    <t>16.</t>
  </si>
  <si>
    <t>Органы местного самоуправления, имеющие статус юридических лиц:</t>
  </si>
  <si>
    <t>16.1.</t>
  </si>
  <si>
    <t xml:space="preserve">  представительные органы муниципальных образований</t>
  </si>
  <si>
    <t>16.2.</t>
  </si>
  <si>
    <t xml:space="preserve">  местные администрации</t>
  </si>
  <si>
    <t>16.3.</t>
  </si>
  <si>
    <t xml:space="preserve">  отраслевые (функциональные) органы местных администраций</t>
  </si>
  <si>
    <t>16.4.</t>
  </si>
  <si>
    <t xml:space="preserve">  территориальные органы местных администраций</t>
  </si>
  <si>
    <t>16.5.</t>
  </si>
  <si>
    <t xml:space="preserve">  контрольно-счетные органы муниципальных образований</t>
  </si>
  <si>
    <t>16.6.</t>
  </si>
  <si>
    <t xml:space="preserve">  иные органы местного самоуправления</t>
  </si>
  <si>
    <t>16.7.*</t>
  </si>
  <si>
    <t>Муниципальные образования, в которых представительные органы не имеют статуса юридических лиц</t>
  </si>
  <si>
    <t>16.8.*</t>
  </si>
  <si>
    <t>Муниципальные образования, в которых местные администрации не имеют статуса юридических лиц</t>
  </si>
  <si>
    <t>17.</t>
  </si>
  <si>
    <t>Муниципальная служба и муниципальные служащие</t>
  </si>
  <si>
    <t>17.1.</t>
  </si>
  <si>
    <t>Общее число ставок муниципальных служащих  согласно штатному расписанию</t>
  </si>
  <si>
    <t>17.1.1.</t>
  </si>
  <si>
    <t xml:space="preserve">  в местных администрациях, их отраслевых (функциональных) и территориальных органах</t>
  </si>
  <si>
    <t>17.1.2.</t>
  </si>
  <si>
    <t xml:space="preserve">  в аппаратах представительных органов муниципальных образований</t>
  </si>
  <si>
    <t>17.1.3.</t>
  </si>
  <si>
    <t xml:space="preserve">  в аппаратах контрольно-счетных органов муниципальных образований</t>
  </si>
  <si>
    <t>17.1.4.</t>
  </si>
  <si>
    <t xml:space="preserve">  в иных органах местного самоуправления</t>
  </si>
  <si>
    <t>17.2.</t>
  </si>
  <si>
    <t>Число замещенных ставок муниципальных служащих</t>
  </si>
  <si>
    <t>17.3.</t>
  </si>
  <si>
    <t>Фактически работающие муниципальные служащие (без учета п. 17.4), в т.ч.</t>
  </si>
  <si>
    <t>17.3.1.</t>
  </si>
  <si>
    <t>17.3.2.</t>
  </si>
  <si>
    <t>17.3.3.</t>
  </si>
  <si>
    <t>17.3.4.</t>
  </si>
  <si>
    <t>17.4.</t>
  </si>
  <si>
    <t>Отсутствующие муниципальные служащие, за которыми сохраняется место работы</t>
  </si>
  <si>
    <t>17.5.</t>
  </si>
  <si>
    <t>Размер среднемесячной номинальной начисленной заработной платы муниципальных служащих (рублей), замещающих:</t>
  </si>
  <si>
    <t>17.5.1.</t>
  </si>
  <si>
    <t xml:space="preserve">  высшие должности муниципальной службы</t>
  </si>
  <si>
    <t>17.5.2.</t>
  </si>
  <si>
    <t xml:space="preserve">  главные должности муниципальной службы</t>
  </si>
  <si>
    <t>17.5.3.</t>
  </si>
  <si>
    <t xml:space="preserve">  ведущие должности муниципальной службы</t>
  </si>
  <si>
    <t>17.5.4.</t>
  </si>
  <si>
    <t xml:space="preserve">  старшие должности муниципальной службы</t>
  </si>
  <si>
    <t>17.5.5.</t>
  </si>
  <si>
    <t xml:space="preserve">  младшие должности муниципальной службы</t>
  </si>
  <si>
    <t>17.6.</t>
  </si>
  <si>
    <t>Число муниципальных образований, в которых муниципальными правовыми актами предусмотрена выплата муниципальным служащим государственной пенсии (пенсии за выслугу лет или аналогичной выплаты) за счет средств местных бюджетов</t>
  </si>
  <si>
    <t>17.7.</t>
  </si>
  <si>
    <t>Число лиц, являющихся получателями государственной пенсии (пенсии за выслугу лет или аналогичной выплаты) за счет средств местных бюджетов, замещавших:</t>
  </si>
  <si>
    <t>17.7.1.</t>
  </si>
  <si>
    <t>17.7.2.</t>
  </si>
  <si>
    <t>17.7.3.</t>
  </si>
  <si>
    <t>17.7.4.</t>
  </si>
  <si>
    <t>17.7.5.</t>
  </si>
  <si>
    <t>17.8.</t>
  </si>
  <si>
    <t>Среднемесячный размер государственной пенсии (пенсии за выслугу лет или аналогичной выплаты) за счет средств местных бюджетов (рублей), которая выплачиваются лицам, замещавшим:</t>
  </si>
  <si>
    <t>17.8.1.</t>
  </si>
  <si>
    <t>17.8.2.</t>
  </si>
  <si>
    <t>17.8.3.</t>
  </si>
  <si>
    <t>17.8.4.</t>
  </si>
  <si>
    <t>17.8.5.</t>
  </si>
  <si>
    <t>18.</t>
  </si>
  <si>
    <t>Иные должностные лица местного самоуправления, не являющиеся депутатами, главами муниципальных образований, председателями, заместителями председателей и аудиторами контрольно-счетных органов либо муниципальными служащими 
(не учтенные в других разделах)</t>
  </si>
  <si>
    <t>18.1.</t>
  </si>
  <si>
    <t>Число соответствующих муниципальных должностей, предусмотренных муниципальными правовыми актами</t>
  </si>
  <si>
    <t>18.2.*</t>
  </si>
  <si>
    <t>Число замещенных должностей</t>
  </si>
  <si>
    <t>18.3.</t>
  </si>
  <si>
    <t>Число соответствующих ставок, предполагающих работу на постоянной основе</t>
  </si>
  <si>
    <t xml:space="preserve">18.4. </t>
  </si>
  <si>
    <t>Число замещенных ставок</t>
  </si>
  <si>
    <t>18.5.*</t>
  </si>
  <si>
    <t>Фактически работающие (без учета п. 18.6) должностные лица</t>
  </si>
  <si>
    <t>18.6.</t>
  </si>
  <si>
    <t>Отстуствующие должностные лица, за которыми сохраняется место работы</t>
  </si>
  <si>
    <t>18.7.</t>
  </si>
  <si>
    <t>Размер среднемесячной номинальной начисленной заработной платы лиц, замещавших соответствующие должности (рублей)</t>
  </si>
  <si>
    <t>18.8.</t>
  </si>
  <si>
    <t>Число муниципальных образований, в которых муниципальными правовыми актами предусмотрено предоставление лицам, замещавшим соответствующие должности на постоянной основе, прекратившим свои полномочия (в том числе досрочно) и в период исполнения полномочий достигшим пенсионного возраста или потерявшим трудоспособность, ежемесячных денежных выплат в связи с прекращением полномочий (доплат к пенсии или аналогичных выплат)</t>
  </si>
  <si>
    <t>18.9.</t>
  </si>
  <si>
    <t>Число лиц в муниципальном образовании, замещавших соответствующие должности на постоянной основе, прекративших свои полномочия (в том числе досрочно) и в период исполнения полномочий достигших пенсионного возраста или потерявшим трудоспособность, которые являются получателями ежемесячных денежных выплат в связи с прекращением полномочий (доплат к пенсии или аналогичных выплат)</t>
  </si>
  <si>
    <t>18.10.</t>
  </si>
  <si>
    <t>Среднемесячный размер денежных выплат (доплат к пенсии или аналогичных выплат), выплачиваемых в связи с прекращением полномочий лицам, замещавшим соответствующие должности на постоянной основе, прекратившим свои полномочия (в том числе досрочно) и в период исполнения полномочий достигшим пенсионного возраста или потерявшим трудоспособность (рублей)</t>
  </si>
  <si>
    <t xml:space="preserve">19. </t>
  </si>
  <si>
    <t>Работники органов местного самоуправления, не являющиеся депутатами, должностными лицами местного самоуправления либо муниципальными служащими (включая т.н."обслуживающий персонал")</t>
  </si>
  <si>
    <t>19.1.</t>
  </si>
  <si>
    <t>Число соответствующих ставок</t>
  </si>
  <si>
    <t>19.2.</t>
  </si>
  <si>
    <t>19.3.</t>
  </si>
  <si>
    <t>Фактически работающие (без учета п. 19.4)</t>
  </si>
  <si>
    <t>19.4.</t>
  </si>
  <si>
    <t>Отсутствующие работники, за которыми сохраняется место работы</t>
  </si>
  <si>
    <t>20.</t>
  </si>
  <si>
    <t>Социально-демографический статус депутатов представительных органов, глав муниципальных образований и муниципальных служащих</t>
  </si>
  <si>
    <t>20.1.</t>
  </si>
  <si>
    <t>Действующие депутаты представительных органов муниципальных образований, избранные на муниципальных выборах:</t>
  </si>
  <si>
    <t>20.1.1.</t>
  </si>
  <si>
    <t xml:space="preserve">  по полу:</t>
  </si>
  <si>
    <t>20.1.1.1.</t>
  </si>
  <si>
    <t xml:space="preserve">    мужчины</t>
  </si>
  <si>
    <t>20.1.1.2.</t>
  </si>
  <si>
    <t xml:space="preserve">    женщины</t>
  </si>
  <si>
    <t>20.1.2.</t>
  </si>
  <si>
    <t xml:space="preserve">  по возрасту:</t>
  </si>
  <si>
    <t>20.1.2.1.</t>
  </si>
  <si>
    <t xml:space="preserve">    от 18 до 35 лет</t>
  </si>
  <si>
    <t>20.1.2.2.</t>
  </si>
  <si>
    <t xml:space="preserve">    от 36 до 65 лет</t>
  </si>
  <si>
    <t>20.1.2.3.</t>
  </si>
  <si>
    <t xml:space="preserve">    старше 65 лет</t>
  </si>
  <si>
    <t>20.1.3.</t>
  </si>
  <si>
    <t xml:space="preserve">   с высшим образованием</t>
  </si>
  <si>
    <t xml:space="preserve">20.1.4. </t>
  </si>
  <si>
    <t xml:space="preserve">  с ученой степенью</t>
  </si>
  <si>
    <t>20.2.</t>
  </si>
  <si>
    <t>Действующие депутаты представительных органов муниципальных образований, избранные по системе делегирования:</t>
  </si>
  <si>
    <t>20.2.1.</t>
  </si>
  <si>
    <t>20.2.1.1.</t>
  </si>
  <si>
    <t>20.2.1.2.</t>
  </si>
  <si>
    <t>20.2.2.</t>
  </si>
  <si>
    <t>20.2.2.1.</t>
  </si>
  <si>
    <t>20.2.2.2.</t>
  </si>
  <si>
    <t>20.2.2.3.</t>
  </si>
  <si>
    <t>20.2.3.</t>
  </si>
  <si>
    <t xml:space="preserve">  с высшим образованием</t>
  </si>
  <si>
    <t xml:space="preserve">20.2.4. </t>
  </si>
  <si>
    <t>20.3.</t>
  </si>
  <si>
    <t>Действующие главы муниципальных образований:</t>
  </si>
  <si>
    <t>20.3.1.</t>
  </si>
  <si>
    <t>20.3.1.1.</t>
  </si>
  <si>
    <t>20.3.1.2.</t>
  </si>
  <si>
    <t>20.3.2.</t>
  </si>
  <si>
    <t>20.3.2.1.</t>
  </si>
  <si>
    <t>20.3.2.2.</t>
  </si>
  <si>
    <t>20.3.2.3.</t>
  </si>
  <si>
    <t>20.3.3.</t>
  </si>
  <si>
    <t xml:space="preserve">  с высшим образованием, в т.ч.:</t>
  </si>
  <si>
    <t xml:space="preserve">20.3.4. </t>
  </si>
  <si>
    <t>20.4.</t>
  </si>
  <si>
    <t>Главы, возглавляющие два муниципальных образования одновременно (поселение и муниципальный район либо городской округ с внутригородским делением и внутригородской район)</t>
  </si>
  <si>
    <t>20.4.1.</t>
  </si>
  <si>
    <t>20.4.1.1.</t>
  </si>
  <si>
    <t>20.4.1.2.</t>
  </si>
  <si>
    <t>20.4.2.</t>
  </si>
  <si>
    <t>20.4.2.1.</t>
  </si>
  <si>
    <t>20.4.2.2.</t>
  </si>
  <si>
    <t>20.4.2.3.</t>
  </si>
  <si>
    <t>20.4.3.</t>
  </si>
  <si>
    <t xml:space="preserve">20.4.4. </t>
  </si>
  <si>
    <t>20.5.</t>
  </si>
  <si>
    <t>Главы местных администраций, назначенные по конкурсу (без учета глав муниципальных образований, возглавляющих местные администрации по должности):</t>
  </si>
  <si>
    <t>20.5.1.</t>
  </si>
  <si>
    <t>20.5.1.1.</t>
  </si>
  <si>
    <t>20.5.1.2.</t>
  </si>
  <si>
    <t>20.5.2.</t>
  </si>
  <si>
    <t>20.5.2.1.</t>
  </si>
  <si>
    <t>20.5.2.2.</t>
  </si>
  <si>
    <t>20.5.2.3.</t>
  </si>
  <si>
    <t>20.5.3.</t>
  </si>
  <si>
    <t xml:space="preserve">    с высшим образованием, в т.ч.:</t>
  </si>
  <si>
    <t xml:space="preserve">20.5.4. </t>
  </si>
  <si>
    <t>20.6.</t>
  </si>
  <si>
    <t>Муниципальные служащие:</t>
  </si>
  <si>
    <t>20.6.1.</t>
  </si>
  <si>
    <t>20.6.1.1.</t>
  </si>
  <si>
    <t>20.6.1.2.</t>
  </si>
  <si>
    <t>20.6.2.</t>
  </si>
  <si>
    <t>20.6.2.1.</t>
  </si>
  <si>
    <t>20.6.2.2.</t>
  </si>
  <si>
    <t>20.6.2.3.</t>
  </si>
  <si>
    <t>20.6.3.</t>
  </si>
  <si>
    <t xml:space="preserve">20.6.4. </t>
  </si>
  <si>
    <t>21.</t>
  </si>
  <si>
    <t>Обучение должностных лиц местного самоуправления и муниципальных служащих за счет средств местных бюджетов</t>
  </si>
  <si>
    <t>21.1.</t>
  </si>
  <si>
    <t>Количество должностных лиц местного самоуправления и муниципальных служащих окончивших в 2024 году обучение за счет средств местных бюджетов</t>
  </si>
  <si>
    <t>21.1.1.</t>
  </si>
  <si>
    <t xml:space="preserve">  по программам повышения квалификации</t>
  </si>
  <si>
    <t>21.1.2.</t>
  </si>
  <si>
    <t xml:space="preserve">  по программам переподготовки</t>
  </si>
  <si>
    <t>21.1.3.</t>
  </si>
  <si>
    <t xml:space="preserve">  по образовательным программам среднего профессионального образования на основании договоров о целевом обучении</t>
  </si>
  <si>
    <t>21.1.4.</t>
  </si>
  <si>
    <t xml:space="preserve">  по образовательным программам высшего профессионального образования на основании договоров о целевом обучении</t>
  </si>
  <si>
    <t>21.2.</t>
  </si>
  <si>
    <t>Количество денежных средств затраченных в 2024 году из местных бюджетов на обучение должностных лиц местного самоуправления и муниципальных служащих</t>
  </si>
  <si>
    <t xml:space="preserve">22.1. </t>
  </si>
  <si>
    <t>Досрочное прекращение и приостановление полномочий органов и должностных лиц местного самоуправления</t>
  </si>
  <si>
    <t>22.1.</t>
  </si>
  <si>
    <t>Досрочное прекращение полномочий представительных органов муниципальных образований в 2024 году:</t>
  </si>
  <si>
    <t>22.1.1.*</t>
  </si>
  <si>
    <t xml:space="preserve">  в связи с самороспуском</t>
  </si>
  <si>
    <t>22.1.2.*</t>
  </si>
  <si>
    <t xml:space="preserve">  в связи с неправомочностью состава (согласно решению суда)</t>
  </si>
  <si>
    <t>22.1.3.*</t>
  </si>
  <si>
    <t xml:space="preserve">  в связи с роспуском (согласно закону субъекта Российской Федерации)</t>
  </si>
  <si>
    <t>22.1.4.*</t>
  </si>
  <si>
    <t xml:space="preserve">  в связи с упразднением или преобразованием муниципального образования</t>
  </si>
  <si>
    <t>22.1.5.*</t>
  </si>
  <si>
    <t xml:space="preserve">  в связи с увеличением численности населения муниципального образования более чем на 25 процентов при изменении его границ либо преобразовании</t>
  </si>
  <si>
    <t>22.1.6.*</t>
  </si>
  <si>
    <t xml:space="preserve">  по иным основаниям</t>
  </si>
  <si>
    <t>22.2.</t>
  </si>
  <si>
    <t>Досрочное прекращение полномочий глав муниципальных образований в 2024 году:</t>
  </si>
  <si>
    <t>22.2.1.</t>
  </si>
  <si>
    <t xml:space="preserve">  отставка по собственному желанию</t>
  </si>
  <si>
    <t>22.2.2.</t>
  </si>
  <si>
    <t xml:space="preserve">  смерть</t>
  </si>
  <si>
    <t>22.2.3.*</t>
  </si>
  <si>
    <t xml:space="preserve">  отзыв избирателями</t>
  </si>
  <si>
    <t>22.2.4.*</t>
  </si>
  <si>
    <t xml:space="preserve">  отрешение от должности высшим должностным лицом субъекта РФ</t>
  </si>
  <si>
    <t>22.2.5.*</t>
  </si>
  <si>
    <t xml:space="preserve">  удаление в отставку по решению представительного органа</t>
  </si>
  <si>
    <t>22.2.6.*</t>
  </si>
  <si>
    <t xml:space="preserve">  в связи с вступлением в силу обвинительного приговора</t>
  </si>
  <si>
    <t>22.2.7.*</t>
  </si>
  <si>
    <t xml:space="preserve">  в связи с утратой доверия Президента Российской Федерации ввиду нарушения антикоррупционных ограничений</t>
  </si>
  <si>
    <t>22.2.8.*</t>
  </si>
  <si>
    <t>22.2.9.*</t>
  </si>
  <si>
    <t xml:space="preserve">22.2.10.* </t>
  </si>
  <si>
    <t>по иным основаниям</t>
  </si>
  <si>
    <t>22.3.</t>
  </si>
  <si>
    <t>Досрочное прекращение в 2024 году полномочий глав местных администраций (не глав муниципальных образований), назначенных по контракту:</t>
  </si>
  <si>
    <t>22.3.1.</t>
  </si>
  <si>
    <t xml:space="preserve">  в связи с добровольной отставкой, досрочным расторжением контракта по инициативе главы местной администрации или по соглашению сторон</t>
  </si>
  <si>
    <t>22.3.2.</t>
  </si>
  <si>
    <t xml:space="preserve">  в связи со смертью</t>
  </si>
  <si>
    <t>22.3.3.*</t>
  </si>
  <si>
    <t xml:space="preserve">  в судебном порядке (в связи с нарушением одной из сторон условий контракта)</t>
  </si>
  <si>
    <t>22.3.4.*</t>
  </si>
  <si>
    <t xml:space="preserve">  в связи с отрешением от должности</t>
  </si>
  <si>
    <t>22.3.5.*</t>
  </si>
  <si>
    <t>22.3.6.*</t>
  </si>
  <si>
    <t>22.3.7.*</t>
  </si>
  <si>
    <t>22.4.</t>
  </si>
  <si>
    <t>Случаи отмены (пересмотра) в судебном порядке решений о досрочном прекращении полномочий органов и должностных лиц местного самоуправления в 2024 году:</t>
  </si>
  <si>
    <t>22.4.1.*</t>
  </si>
  <si>
    <t xml:space="preserve">  роспуска представительного органа муниципального образования</t>
  </si>
  <si>
    <t>22.4.2.*</t>
  </si>
  <si>
    <t xml:space="preserve">  отрешения от должности либо удаления в отставку главы муниципального образования (с восстановлением в должности)</t>
  </si>
  <si>
    <t>22.4.3.*</t>
  </si>
  <si>
    <t xml:space="preserve">  отрешения от должности главы местной администрации либо расторжения контракта с ним (с восстановлением в должности)</t>
  </si>
  <si>
    <t>22.5.</t>
  </si>
  <si>
    <t>Случаи отстранения от исполнения должностных обязанностей в соответствии с уголовно-процессуальным законодательством в 2024 году:</t>
  </si>
  <si>
    <t>22.5.1.*</t>
  </si>
  <si>
    <t xml:space="preserve">  глав муниципальных образований</t>
  </si>
  <si>
    <t>22.5.2.*</t>
  </si>
  <si>
    <t xml:space="preserve">  глав местных администраций </t>
  </si>
  <si>
    <t>23.</t>
  </si>
  <si>
    <t>Муниципальные СМИ</t>
  </si>
  <si>
    <t>23.1.</t>
  </si>
  <si>
    <t>Муниципальные образования, являющиеся учредителями (соучредителями) муниципальных СМИ (хотя бы одного), зарегистрированных в соответствии с законодательством о СМИ</t>
  </si>
  <si>
    <t>23.2.</t>
  </si>
  <si>
    <t>Муниципальные СМИ, зарегистрированные в соответствии с законодательством о СМИ, учредителями (соучредителями) которых являются муниципальные образования:</t>
  </si>
  <si>
    <t>23.2.1.</t>
  </si>
  <si>
    <t xml:space="preserve">  периодические печатные издания с тиражом:</t>
  </si>
  <si>
    <t>23.2.1.1.</t>
  </si>
  <si>
    <t xml:space="preserve">    до 1000 экземпляров</t>
  </si>
  <si>
    <t>23.2.1.2.</t>
  </si>
  <si>
    <t xml:space="preserve">    1001-5000 экземпляров</t>
  </si>
  <si>
    <t>23.2.1.3.</t>
  </si>
  <si>
    <t xml:space="preserve">    более 5000 экземпляров</t>
  </si>
  <si>
    <t>23.2.2.</t>
  </si>
  <si>
    <t xml:space="preserve">  теле- и радиоканалы и программы с охватом аудитории:</t>
  </si>
  <si>
    <t>23.2.2.1.</t>
  </si>
  <si>
    <t xml:space="preserve">    до 1000 зрителей (слушателей)</t>
  </si>
  <si>
    <t>23.2.2.2.</t>
  </si>
  <si>
    <t xml:space="preserve">    1001-5000 зрителей (слушателей)</t>
  </si>
  <si>
    <t>23.2.2.3.</t>
  </si>
  <si>
    <t xml:space="preserve">    более 5000 зрителей (слушателей)</t>
  </si>
  <si>
    <t>23.2.3.</t>
  </si>
  <si>
    <t xml:space="preserve">  сетевые издания, имеющие:</t>
  </si>
  <si>
    <t>23.2.3.1.</t>
  </si>
  <si>
    <t xml:space="preserve">    до 100 подписчиков</t>
  </si>
  <si>
    <t>23.2.3.2.</t>
  </si>
  <si>
    <t xml:space="preserve">    101-500 подписчиков</t>
  </si>
  <si>
    <t>23.2.3.3.</t>
  </si>
  <si>
    <t xml:space="preserve">    501-1000 подписчиков</t>
  </si>
  <si>
    <t>23.2.3.4.</t>
  </si>
  <si>
    <t xml:space="preserve">    1001-5000 подписчиков</t>
  </si>
  <si>
    <t>23.2.3.5.</t>
  </si>
  <si>
    <t xml:space="preserve">    более 5000 подписчиков</t>
  </si>
  <si>
    <t>23.2.4.</t>
  </si>
  <si>
    <t xml:space="preserve">  иные формы СМИ</t>
  </si>
  <si>
    <t>23.3.</t>
  </si>
  <si>
    <t>Муниципальные образования, являющиеся учредителями (соучредителями) муниципальных СМИ, не нуждающихся в регистрации в соответствии с законодательством о СМИ</t>
  </si>
  <si>
    <t>23.4.</t>
  </si>
  <si>
    <t>Муниципальные СМИ, не нуждающиеся в регистрации в соответствии с законодательством о СМИ, учредителями (соучредителями) которых являются муниципальные образования:</t>
  </si>
  <si>
    <t>23.4.1.</t>
  </si>
  <si>
    <t>23.4.1.1.</t>
  </si>
  <si>
    <t>23.4.1.2.</t>
  </si>
  <si>
    <t>23.4.1.3.</t>
  </si>
  <si>
    <t>23.4.2.</t>
  </si>
  <si>
    <t>23.4.2.1.</t>
  </si>
  <si>
    <t>23.4.2.2.</t>
  </si>
  <si>
    <t>23.4.2.3.</t>
  </si>
  <si>
    <t>23.4.3.</t>
  </si>
  <si>
    <t>23.4.3.1.</t>
  </si>
  <si>
    <t>23.4.3.2.</t>
  </si>
  <si>
    <t>23.4.3.3.</t>
  </si>
  <si>
    <t>23.4.3.4.</t>
  </si>
  <si>
    <t>23.4.3.5.</t>
  </si>
  <si>
    <t>23.4.4.</t>
  </si>
  <si>
    <t>телеграмм-каналы, имеющие:</t>
  </si>
  <si>
    <t>23.4.4.1.</t>
  </si>
  <si>
    <t>23.4.4.2.</t>
  </si>
  <si>
    <t>23.4.4.3.</t>
  </si>
  <si>
    <t>23.4.4.4.</t>
  </si>
  <si>
    <t>23.4.4.5.</t>
  </si>
  <si>
    <t>23.4.5.</t>
  </si>
  <si>
    <t>23.5.</t>
  </si>
  <si>
    <t>Муниципальные образования, не являющиеся учредителями (соучредителями) каких-либо муниципальных СМИ</t>
  </si>
  <si>
    <t>24.</t>
  </si>
  <si>
    <t>Официальные сайты органов местного самоуправления и аккаунты глав муниципальных образований в социальных сетях</t>
  </si>
  <si>
    <t>24.1.</t>
  </si>
  <si>
    <t>Муниципальные образования, имеющие официальные сайты органов местного самоуправления (без учета поселений, имеющих только страницы на сайтах районов)</t>
  </si>
  <si>
    <t>24.2.</t>
  </si>
  <si>
    <t>Сайты органов местного самоуправления</t>
  </si>
  <si>
    <t>24.3.</t>
  </si>
  <si>
    <t>Аккаунты глав муниципальных образований в социальных сетях, телеграмм-каналы</t>
  </si>
  <si>
    <t>24.3.1.</t>
  </si>
  <si>
    <t xml:space="preserve">  до 100 подписчиков</t>
  </si>
  <si>
    <t>24.3.2.</t>
  </si>
  <si>
    <t xml:space="preserve">  101-500 подписчиков</t>
  </si>
  <si>
    <t>24.3.3.</t>
  </si>
  <si>
    <t xml:space="preserve">  501-1000 подписчиков</t>
  </si>
  <si>
    <t>24.3.4.</t>
  </si>
  <si>
    <t xml:space="preserve">  1001-5000 подписчиков</t>
  </si>
  <si>
    <t>24.3.5.</t>
  </si>
  <si>
    <t xml:space="preserve">  более 5000 подписчиков</t>
  </si>
  <si>
    <t>25.</t>
  </si>
  <si>
    <t>Организации (юридические лица), созданные с участием органов местного самоуправления</t>
  </si>
  <si>
    <t>25.1.</t>
  </si>
  <si>
    <r>
      <t xml:space="preserve">Количество действующих </t>
    </r>
    <r>
      <rPr>
        <u/>
        <sz val="11"/>
        <rFont val="Calibri"/>
        <family val="2"/>
        <scheme val="minor"/>
      </rPr>
      <t>муниципальных образований,</t>
    </r>
    <r>
      <rPr>
        <sz val="11"/>
        <rFont val="Calibri"/>
        <family val="2"/>
        <scheme val="minor"/>
      </rPr>
      <t xml:space="preserve"> являющихся </t>
    </r>
    <r>
      <rPr>
        <u/>
        <sz val="11"/>
        <rFont val="Calibri"/>
        <family val="2"/>
        <scheme val="minor"/>
      </rPr>
      <t>учредителями</t>
    </r>
    <r>
      <rPr>
        <sz val="11"/>
        <rFont val="Calibri"/>
        <family val="2"/>
        <scheme val="minor"/>
      </rPr>
      <t xml:space="preserve"> муниципальных организаций (хотя бы одной), в том числе опосредованно - через органы местного самоуправления, в т.ч.:</t>
    </r>
  </si>
  <si>
    <t>25.1.1.</t>
  </si>
  <si>
    <t xml:space="preserve">  учредителями муниципальных унитарных предприятий</t>
  </si>
  <si>
    <t>25.1.2.</t>
  </si>
  <si>
    <t xml:space="preserve">  учредителями муниципальных учреждений (включая органы местного самоуправления, имеющие статус юридических лиц)</t>
  </si>
  <si>
    <t>25.1.3.</t>
  </si>
  <si>
    <r>
      <t xml:space="preserve">  учредителями муниципальных учреждений (</t>
    </r>
    <r>
      <rPr>
        <u/>
        <sz val="11"/>
        <rFont val="Calibri"/>
        <family val="2"/>
        <scheme val="minor"/>
      </rPr>
      <t>без учета</t>
    </r>
    <r>
      <rPr>
        <sz val="11"/>
        <rFont val="Calibri"/>
        <family val="2"/>
        <scheme val="minor"/>
      </rPr>
      <t xml:space="preserve"> органов местного самоуправления, имеющих статус юридических лиц)</t>
    </r>
  </si>
  <si>
    <t>25.2.</t>
  </si>
  <si>
    <r>
      <t xml:space="preserve">Количество действующих </t>
    </r>
    <r>
      <rPr>
        <u/>
        <sz val="11"/>
        <rFont val="Calibri"/>
        <family val="2"/>
        <scheme val="minor"/>
      </rPr>
      <t>муниципальных образований,</t>
    </r>
    <r>
      <rPr>
        <sz val="11"/>
        <rFont val="Calibri"/>
        <family val="2"/>
        <scheme val="minor"/>
      </rPr>
      <t xml:space="preserve"> являющихся участниками (в т.ч. опосредованно - через органы местного самоуправления):</t>
    </r>
  </si>
  <si>
    <t>25.2.1.</t>
  </si>
  <si>
    <t xml:space="preserve">  в хозяйственных обществах</t>
  </si>
  <si>
    <t>25.2.2.</t>
  </si>
  <si>
    <t xml:space="preserve">  в некоммерческих организациях (с учетом советов муниципальных образований субъектов Российской Федерации)</t>
  </si>
  <si>
    <t>25.2.3.</t>
  </si>
  <si>
    <t xml:space="preserve">  в некоммерческих организациях (без учета советов муниципальных образований субъектов Российской Федерации)</t>
  </si>
  <si>
    <t>25.3.</t>
  </si>
  <si>
    <r>
      <t xml:space="preserve">Количество муниципальных образований, </t>
    </r>
    <r>
      <rPr>
        <u/>
        <sz val="11"/>
        <rFont val="Calibri"/>
        <family val="2"/>
        <scheme val="minor"/>
      </rPr>
      <t>не являющихся</t>
    </r>
    <r>
      <rPr>
        <sz val="11"/>
        <rFont val="Calibri"/>
        <family val="2"/>
        <scheme val="minor"/>
      </rPr>
      <t xml:space="preserve"> учредителями либо участниками каких-либо организаций</t>
    </r>
  </si>
  <si>
    <t>25.4.</t>
  </si>
  <si>
    <t>Количество муниципальных унитарных предприятий, в т.ч.:</t>
  </si>
  <si>
    <t>25.4.1.</t>
  </si>
  <si>
    <t xml:space="preserve">  в сфере жилищно-коммунального хозяйства</t>
  </si>
  <si>
    <t>25.4.2.</t>
  </si>
  <si>
    <t xml:space="preserve">  в сфере строительства</t>
  </si>
  <si>
    <t>25.4.3.</t>
  </si>
  <si>
    <t xml:space="preserve">  в сфере транспорта</t>
  </si>
  <si>
    <t>25.4.4.</t>
  </si>
  <si>
    <t xml:space="preserve">  в сфере социальной защиты и занятости населения (при реализации муниципальным образованием государственных полномочий)</t>
  </si>
  <si>
    <t>25.4.5.</t>
  </si>
  <si>
    <t xml:space="preserve">  в сфере здравоохранения  (при реализации муниципальным образованием государственных полномочий)</t>
  </si>
  <si>
    <t>25.4.6.</t>
  </si>
  <si>
    <t xml:space="preserve">  в сфере образования</t>
  </si>
  <si>
    <t>25.4.7.</t>
  </si>
  <si>
    <t xml:space="preserve">  в сфере культуры</t>
  </si>
  <si>
    <t>25.4.8.</t>
  </si>
  <si>
    <t xml:space="preserve">  в сфере физкультуры и спорта</t>
  </si>
  <si>
    <t>25.4.9.</t>
  </si>
  <si>
    <t xml:space="preserve">  в иных сферах</t>
  </si>
  <si>
    <t xml:space="preserve">25.5. </t>
  </si>
  <si>
    <t>Число ставок согласно штатному расписанию МУПов, в т.ч.:</t>
  </si>
  <si>
    <t>25.5.1.</t>
  </si>
  <si>
    <t>25.5.2.</t>
  </si>
  <si>
    <t>25.5.3.</t>
  </si>
  <si>
    <t>25.5.4.</t>
  </si>
  <si>
    <t>25.5.5.</t>
  </si>
  <si>
    <t>25.5.6.</t>
  </si>
  <si>
    <t>25.5.7.</t>
  </si>
  <si>
    <t>25.5.8.</t>
  </si>
  <si>
    <t>25.5.9.</t>
  </si>
  <si>
    <t>25.6.</t>
  </si>
  <si>
    <t>Фактическое число работников в МУПов, в т.ч.:</t>
  </si>
  <si>
    <t>25.6.1.</t>
  </si>
  <si>
    <t>25.6.2.</t>
  </si>
  <si>
    <t>25.6.3.</t>
  </si>
  <si>
    <t>25.6.4.</t>
  </si>
  <si>
    <t>25.6.5.</t>
  </si>
  <si>
    <t>25.6.6.</t>
  </si>
  <si>
    <t>25.6.7.</t>
  </si>
  <si>
    <t>25.6.8.</t>
  </si>
  <si>
    <t>25.6.9.</t>
  </si>
  <si>
    <t>25.7.</t>
  </si>
  <si>
    <t>Количество всех муниципальных учреждений (включая органы местного самоуправления, имеющие статус юридических лиц)</t>
  </si>
  <si>
    <t>25.8.</t>
  </si>
  <si>
    <t>Количество муниципальных учреждений (без учета органов местного самоуправления, учтенных в п.16), в т.ч.:</t>
  </si>
  <si>
    <t>25.8.1.</t>
  </si>
  <si>
    <t>25.8.2.</t>
  </si>
  <si>
    <t>25.8.3.</t>
  </si>
  <si>
    <t>25.8.4.</t>
  </si>
  <si>
    <t>25.8.5.</t>
  </si>
  <si>
    <t>25.8.6.</t>
  </si>
  <si>
    <t>25.8.7.</t>
  </si>
  <si>
    <t>25.8.8.</t>
  </si>
  <si>
    <t>25.8.9.</t>
  </si>
  <si>
    <t>25.9.</t>
  </si>
  <si>
    <t>Число ставок согласно штатному расписанию муниципальных учреждений (без учета ставок в органах местного самоуправления) в т.ч.:</t>
  </si>
  <si>
    <t>25.9.1.</t>
  </si>
  <si>
    <t>25.9.2.</t>
  </si>
  <si>
    <t>25.9.3.</t>
  </si>
  <si>
    <t>25.9.4.</t>
  </si>
  <si>
    <t>25.9.5.</t>
  </si>
  <si>
    <t>25.9.6.</t>
  </si>
  <si>
    <t>25.9.7.</t>
  </si>
  <si>
    <t>25.9.8.</t>
  </si>
  <si>
    <t>25.9.9.</t>
  </si>
  <si>
    <t>25.10.</t>
  </si>
  <si>
    <t>Число фактически работающих в муниципальных учреждениях (без учета занимающих должности, служащих и работающих в органах местного самоуправления)</t>
  </si>
  <si>
    <t>25.10.1.</t>
  </si>
  <si>
    <t>25.10.2.</t>
  </si>
  <si>
    <t>25.10.3.</t>
  </si>
  <si>
    <t>25.10.4.</t>
  </si>
  <si>
    <t>25.10.5.</t>
  </si>
  <si>
    <t>25.10.6.</t>
  </si>
  <si>
    <t>25.10.7.</t>
  </si>
  <si>
    <t>25.10.8.</t>
  </si>
  <si>
    <t>25.10.9.</t>
  </si>
  <si>
    <t>25.11.</t>
  </si>
  <si>
    <t>Количество хозяйственных обществ, в которых участниками являюстя муниципальные образования (в т.ч. опосредованно - через органы местного самоуправления), в т.ч.:</t>
  </si>
  <si>
    <t>25.11.1.</t>
  </si>
  <si>
    <t>25.11.2.</t>
  </si>
  <si>
    <t>25.11.3.</t>
  </si>
  <si>
    <t>25.11.4.</t>
  </si>
  <si>
    <t>25.11.5.</t>
  </si>
  <si>
    <t>25.11.6.</t>
  </si>
  <si>
    <t>25.11.7.</t>
  </si>
  <si>
    <t>25.11.8.</t>
  </si>
  <si>
    <t>25.11.9.</t>
  </si>
  <si>
    <t>25.12.</t>
  </si>
  <si>
    <t>Число фактически работающих в хозяйственных обществах, в которых участниками являюстя муниципальные образования (в т.ч. опосредованно - через органы местного самоуправления), в т.ч.:</t>
  </si>
  <si>
    <t>25.12.1.</t>
  </si>
  <si>
    <t>25.12.2.</t>
  </si>
  <si>
    <t>25.12.3.</t>
  </si>
  <si>
    <t>25.12.4.</t>
  </si>
  <si>
    <t>25.12.5.</t>
  </si>
  <si>
    <t>25.12.6.</t>
  </si>
  <si>
    <t>25.12.7.</t>
  </si>
  <si>
    <t>25.12.8.</t>
  </si>
  <si>
    <t>25.12.9.</t>
  </si>
  <si>
    <t>25.13.</t>
  </si>
  <si>
    <t>Количество некоммерческих организаций (кроме муниципальных учреждений и советов муниципальных образований субъектов Российской Федерации), в которых участниками являюстя муниципальные образования (в т.ч. опосредованно - через органы местного самоуправления), в т.ч.:</t>
  </si>
  <si>
    <t>25.13.1.</t>
  </si>
  <si>
    <t>25.13.2.</t>
  </si>
  <si>
    <t>25.13.3.</t>
  </si>
  <si>
    <t>25.13.4.</t>
  </si>
  <si>
    <t>25.13.5.</t>
  </si>
  <si>
    <t>25.13.6.</t>
  </si>
  <si>
    <t>25.13.7.</t>
  </si>
  <si>
    <t>25.13.8.</t>
  </si>
  <si>
    <t>25.13.9.</t>
  </si>
  <si>
    <t>25.14.</t>
  </si>
  <si>
    <t>Число фактически работающих в некоммерческих организациях (кроме муниципальных учреждений и советов муниципальных образований субъектов Российской Федерации), в которых участниками являюстя муниципальные образования (в т.ч. опосредованно - через органы местного самоуправления), в т.ч.:</t>
  </si>
  <si>
    <t>25.14.1.</t>
  </si>
  <si>
    <t>25.14.2.</t>
  </si>
  <si>
    <t>25.14.3.</t>
  </si>
  <si>
    <t>25.14.4.</t>
  </si>
  <si>
    <t>25.14.5.</t>
  </si>
  <si>
    <t>25.14.6.</t>
  </si>
  <si>
    <t>25.14.7.</t>
  </si>
  <si>
    <t>25.14.8.</t>
  </si>
  <si>
    <t>25.14.9.</t>
  </si>
  <si>
    <t>26.</t>
  </si>
  <si>
    <t>Межмуниципальное сотрудничество</t>
  </si>
  <si>
    <t>26.1.</t>
  </si>
  <si>
    <t>Муниципальные образования, участвующие в организациях межмуниципального сотрудничества, в том числе:</t>
  </si>
  <si>
    <t>26.1.1.</t>
  </si>
  <si>
    <t xml:space="preserve">  в советах муниципальных образований</t>
  </si>
  <si>
    <t>26.1.2.*</t>
  </si>
  <si>
    <t xml:space="preserve">  в иных межмуниципальных некоммерческих организациях</t>
  </si>
  <si>
    <t>26.1.3.*</t>
  </si>
  <si>
    <t xml:space="preserve">  в межмуниципальных хозяйственных обществах</t>
  </si>
  <si>
    <t xml:space="preserve">26.2. </t>
  </si>
  <si>
    <t>Муниципальные образования, не участвующие в организациях межмуниципального сотрудничества</t>
  </si>
  <si>
    <t>26.3.*</t>
  </si>
  <si>
    <t>Муниципальные образования, имеющие двух- и многосторонние договоры о сотрудничестве с другими муниципальными образованиями (в пределах Российской Федерации):</t>
  </si>
  <si>
    <t>26.4.*</t>
  </si>
  <si>
    <t>Муниципальные образования, имеющие договоры о внешнеэкономическом и приграничном сотрудничестве с зарубежными муниципалитетами и территориями (включая "города-побратимы")</t>
  </si>
  <si>
    <t>26.5.</t>
  </si>
  <si>
    <t>Объем финансирования из бюджетов муниципальных образований межмуниципальных организаций (включая членские взносы) (рублей)</t>
  </si>
  <si>
    <t xml:space="preserve">27. </t>
  </si>
  <si>
    <t>Самообложение, инициативные проекты и инициативное бюджетирование</t>
  </si>
  <si>
    <t>27.1.*</t>
  </si>
  <si>
    <t>Число муниципальных образований, где собирались взносы (в порядке самообложения) в 2024 году</t>
  </si>
  <si>
    <t>27.2.</t>
  </si>
  <si>
    <t>Объем средств, собранных в 2024 году (рублей)</t>
  </si>
  <si>
    <t>27.3.*</t>
  </si>
  <si>
    <t>Число муниципальных образований, где в 2024 году органами местного самоуправления рассматривались инициативные проекты (в т.ч. в рамках региональных и муниципальных программ поддержки местных инициатив)</t>
  </si>
  <si>
    <t xml:space="preserve">27.4. </t>
  </si>
  <si>
    <t>Объем инициативных платежей, собранных в 2024 году (рублей)</t>
  </si>
  <si>
    <t>27.5.</t>
  </si>
  <si>
    <t>Количество реализованных инициативных проектов в 2024 году</t>
  </si>
  <si>
    <t>27.5.1.</t>
  </si>
  <si>
    <t xml:space="preserve">  проекты дорожной сферы, связанные с ремонтом и обустройством автомобильных дорог и тротуаров</t>
  </si>
  <si>
    <t>27.5.2.</t>
  </si>
  <si>
    <t xml:space="preserve">  проекты организации мест массового отдыха населения и объектов благоустройства</t>
  </si>
  <si>
    <t>27.5.3.</t>
  </si>
  <si>
    <t xml:space="preserve">  проекты комплексного благоустройства дворов</t>
  </si>
  <si>
    <t>27.5.4.</t>
  </si>
  <si>
    <t xml:space="preserve">  проекты строительства детских игровых площадок</t>
  </si>
  <si>
    <t>27.5.5.</t>
  </si>
  <si>
    <t xml:space="preserve">  проекты в сфере физической культуры и массового спорта</t>
  </si>
  <si>
    <t>27.5.6.</t>
  </si>
  <si>
    <t xml:space="preserve">  проекты по организации реконструкции систем водоснабжения и водоотведения</t>
  </si>
  <si>
    <t>27.5.7.</t>
  </si>
  <si>
    <t xml:space="preserve">  иные проекты</t>
  </si>
  <si>
    <t xml:space="preserve">28. </t>
  </si>
  <si>
    <t>Муниципальные выборы, местные  референдумы и голосования</t>
  </si>
  <si>
    <t>28.1.</t>
  </si>
  <si>
    <t>Муниципальные выборы, проведенные в 2024 году, в т.ч.</t>
  </si>
  <si>
    <t>28.1.1.</t>
  </si>
  <si>
    <t xml:space="preserve">  выборы депутатов (по мажоритарной системе)</t>
  </si>
  <si>
    <t>28.1.2.</t>
  </si>
  <si>
    <t xml:space="preserve">  выборы депутатов (по пропорциональной системе)</t>
  </si>
  <si>
    <t>28.1.3.</t>
  </si>
  <si>
    <t xml:space="preserve">  выборы депутатов (по смешанной системе)</t>
  </si>
  <si>
    <t>28.1.4.</t>
  </si>
  <si>
    <t xml:space="preserve">  повторные или дополнительные выборы депутатов по одному или нескольким округам (не всего состава)</t>
  </si>
  <si>
    <t>28.1.5.</t>
  </si>
  <si>
    <t xml:space="preserve">  выборы глав муниципальных образований 
(в т.ч. повторное голосование - т.н. "второй тур")</t>
  </si>
  <si>
    <t>28.2.</t>
  </si>
  <si>
    <t>Количество избранных по итогам выборов в 2024 году (независимо от того, сохранили ли они свой статус впоследствии)</t>
  </si>
  <si>
    <t>28.2.1.</t>
  </si>
  <si>
    <t xml:space="preserve">  представительных органов (сформированных новых составов)</t>
  </si>
  <si>
    <t>28.2.2.</t>
  </si>
  <si>
    <t xml:space="preserve">  депутатов представительных органов</t>
  </si>
  <si>
    <t>28.2.3.</t>
  </si>
  <si>
    <t>28.3.</t>
  </si>
  <si>
    <t>Местные референдумы, проведенные в 2024 году, в т.ч.</t>
  </si>
  <si>
    <t>28.3.1.*</t>
  </si>
  <si>
    <t xml:space="preserve">  по самообложению</t>
  </si>
  <si>
    <t>28.3.2.*</t>
  </si>
  <si>
    <t xml:space="preserve">  по иным вопросам</t>
  </si>
  <si>
    <t>28.4.*</t>
  </si>
  <si>
    <t>Голосования (избирателей) по вопросам изменения территориальной организации местного самоуправления, проведенные в 2024 г.</t>
  </si>
  <si>
    <t>28.5.*</t>
  </si>
  <si>
    <t xml:space="preserve">Голосования (избирателей) по отзыву депутатов и должностных лиц местного самоуправления в 2024 г. </t>
  </si>
  <si>
    <t xml:space="preserve">29. </t>
  </si>
  <si>
    <t>Сходы граждан</t>
  </si>
  <si>
    <t>29.1.*</t>
  </si>
  <si>
    <t>Муниципальные образования, в которых полномочия представительного органа осуществляются сходом граждан</t>
  </si>
  <si>
    <t>29.2.*</t>
  </si>
  <si>
    <t>Муниципальные образования, главы которых избраны на сходах граждан</t>
  </si>
  <si>
    <t xml:space="preserve">29.3. </t>
  </si>
  <si>
    <t>Сходы граждан, проведенные в 2024 году в соотв. со ст. 25 и 25.1 Федерального закона № 131-ФЗ:</t>
  </si>
  <si>
    <t>29.3.1.</t>
  </si>
  <si>
    <t xml:space="preserve">  по вопросам осуществления полномочий представительных органов поселений</t>
  </si>
  <si>
    <t>29.3.2.</t>
  </si>
  <si>
    <t xml:space="preserve">  по вопросам изменения территориальной организации местного самоуправления</t>
  </si>
  <si>
    <t>29.3.3.</t>
  </si>
  <si>
    <t xml:space="preserve">  по вопросам определения структуры органов местного самоуправления</t>
  </si>
  <si>
    <t>29.3.4.</t>
  </si>
  <si>
    <t xml:space="preserve">  по вопросам самообложения</t>
  </si>
  <si>
    <t>29.3.5.</t>
  </si>
  <si>
    <t xml:space="preserve">  по вопросам выдвижения и отбора инициативных проектов</t>
  </si>
  <si>
    <t xml:space="preserve">29.3.6. </t>
  </si>
  <si>
    <t xml:space="preserve">  по вопросам выдвижения, избрания и прекращения полномочий старост</t>
  </si>
  <si>
    <t>29.3.7.</t>
  </si>
  <si>
    <t xml:space="preserve">  по вопросам выдвижения кандидатур в конкурсные комиссии</t>
  </si>
  <si>
    <t>29.3.8.</t>
  </si>
  <si>
    <r>
      <t xml:space="preserve">  по иным вопросам (в т.ч. собрания, </t>
    </r>
    <r>
      <rPr>
        <u/>
        <sz val="11"/>
        <rFont val="Calibri"/>
        <family val="2"/>
        <scheme val="minor"/>
      </rPr>
      <t>не связанные</t>
    </r>
    <r>
      <rPr>
        <sz val="11"/>
        <rFont val="Calibri"/>
        <family val="2"/>
        <scheme val="minor"/>
      </rPr>
      <t xml:space="preserve"> с вопросами, указанными в ст. 25 и 25.1 Федерального закона № 131-ФЗ, но оформленные как сходы)</t>
    </r>
  </si>
  <si>
    <t>29.3.9.</t>
  </si>
  <si>
    <t>Сходы граждан, проведенные в 2024 году поэтапно 
(в несколько этапов)</t>
  </si>
  <si>
    <t>30.</t>
  </si>
  <si>
    <t>Собрания, конференции, публичные слушания, опросы</t>
  </si>
  <si>
    <t>30.1.</t>
  </si>
  <si>
    <t>Количество собраний граждан, проведенных в соответствии с законодательством о местном самоуправлении в 2024 году</t>
  </si>
  <si>
    <t>30.2.</t>
  </si>
  <si>
    <t>Количество конференций граждан (делегатов) в 2024 году</t>
  </si>
  <si>
    <t>30.3.</t>
  </si>
  <si>
    <t>Количество публичных слушаний в 2024 году</t>
  </si>
  <si>
    <t>30.4.</t>
  </si>
  <si>
    <t>Количество общественных обсуждений в 2024 году</t>
  </si>
  <si>
    <t>30.5.*</t>
  </si>
  <si>
    <t>Количество опросов граждан, проведенных в соответствии срешениями органов местного самоуправления в 2024 году</t>
  </si>
  <si>
    <t xml:space="preserve">31. </t>
  </si>
  <si>
    <t>Правотворческая инициатива граждан</t>
  </si>
  <si>
    <t xml:space="preserve">31.1. </t>
  </si>
  <si>
    <t>Инициативы, внесенные в 2024 году</t>
  </si>
  <si>
    <t>31.2.*</t>
  </si>
  <si>
    <t>Инициативы, рассмотренные в 2024 году</t>
  </si>
  <si>
    <t>31.3.*</t>
  </si>
  <si>
    <t>Инициативы, реализованные в виде принятых правовых актов или поправок к ним в 2024 году</t>
  </si>
  <si>
    <t>32.</t>
  </si>
  <si>
    <t>Общественные палаты (советы) муниципальных образований</t>
  </si>
  <si>
    <t>32.1.</t>
  </si>
  <si>
    <r>
      <t xml:space="preserve">Количество </t>
    </r>
    <r>
      <rPr>
        <u/>
        <sz val="11"/>
        <rFont val="Calibri"/>
        <family val="2"/>
        <scheme val="minor"/>
      </rPr>
      <t>муниципальных образований</t>
    </r>
    <r>
      <rPr>
        <sz val="11"/>
        <rFont val="Calibri"/>
        <family val="2"/>
        <scheme val="minor"/>
      </rPr>
      <t>, уставами или иными актами которых предусмотрено создание общественных палат (советов) муниципальных образований и (или) общественных советов при органах местного самоуправления</t>
    </r>
  </si>
  <si>
    <t>32.2.</t>
  </si>
  <si>
    <t>Сформированные и действующие общественные палаты (советы) муниципальных образований</t>
  </si>
  <si>
    <t>32.3.</t>
  </si>
  <si>
    <t>Сформированные и действующие общественные советы при органах местного самоуправления</t>
  </si>
  <si>
    <t>32.4.</t>
  </si>
  <si>
    <t>Общая численность членов общественных палат (советов) муниципальных образований, общественных советов при органах местного самоуправления</t>
  </si>
  <si>
    <t xml:space="preserve">33. </t>
  </si>
  <si>
    <t>Территориальное общественное самоуправление</t>
  </si>
  <si>
    <t>33.1.</t>
  </si>
  <si>
    <r>
      <t xml:space="preserve">Количество </t>
    </r>
    <r>
      <rPr>
        <u/>
        <sz val="11"/>
        <rFont val="Calibri"/>
        <family val="2"/>
        <scheme val="minor"/>
      </rPr>
      <t>муниципальных образований</t>
    </r>
    <r>
      <rPr>
        <sz val="11"/>
        <rFont val="Calibri"/>
        <family val="2"/>
        <scheme val="minor"/>
      </rPr>
      <t xml:space="preserve">, на территории которых действует </t>
    </r>
    <r>
      <rPr>
        <u/>
        <sz val="11"/>
        <rFont val="Calibri"/>
        <family val="2"/>
        <scheme val="minor"/>
      </rPr>
      <t>не менее одного ТОС с уставом, зарегистрированным в органах местного самоуправления</t>
    </r>
  </si>
  <si>
    <t xml:space="preserve">33.2. </t>
  </si>
  <si>
    <t>Количество муниципальных образований, на территории которых действует не менее одного ТОС со статусом юридических лиц (некоммерческих организаций)</t>
  </si>
  <si>
    <t>33.3.</t>
  </si>
  <si>
    <t>Количество муниципальных образований - участников бюджетного процесса, предоставлявших субсидии и (или) гранты ТОСам в 2024 г.</t>
  </si>
  <si>
    <t>33.4.</t>
  </si>
  <si>
    <r>
      <t xml:space="preserve">Количество ТОС </t>
    </r>
    <r>
      <rPr>
        <u/>
        <sz val="11"/>
        <rFont val="Calibri"/>
        <family val="2"/>
        <scheme val="minor"/>
      </rPr>
      <t>с уставами, зарегистрированными в органах местного самоуправления</t>
    </r>
    <r>
      <rPr>
        <sz val="11"/>
        <rFont val="Calibri"/>
        <family val="2"/>
        <scheme val="minor"/>
      </rPr>
      <t>, действующих на территории:</t>
    </r>
  </si>
  <si>
    <t>33.4.1.</t>
  </si>
  <si>
    <t xml:space="preserve">  поселений, муниципальных и городских округов (кроме округов с внутригородским делением)</t>
  </si>
  <si>
    <t>33.4.2.</t>
  </si>
  <si>
    <t xml:space="preserve">  межселенных территорий</t>
  </si>
  <si>
    <t>33.4.3.</t>
  </si>
  <si>
    <t xml:space="preserve">  внутригородских районов (в городских округах с делением) и внутригородских муниципальных образований (в городах федерального значения)</t>
  </si>
  <si>
    <t>33.5.</t>
  </si>
  <si>
    <t>Количество ТОС со статусом юридических лиц, действующих на территории:</t>
  </si>
  <si>
    <t>33.5.1.</t>
  </si>
  <si>
    <t>33.5.2.</t>
  </si>
  <si>
    <t>33.5.3.</t>
  </si>
  <si>
    <t>33.6.*</t>
  </si>
  <si>
    <t>Количество существующих муниципальных образований, имеющих заключенные с ТОС соглашения, предусматривающие использование бюджетных средств</t>
  </si>
  <si>
    <t>33.7.</t>
  </si>
  <si>
    <t>Количество ТОС, имеющих с органами местного самоуправления соглашения, предусматривающие использование бюджетных средств</t>
  </si>
  <si>
    <t xml:space="preserve">34. </t>
  </si>
  <si>
    <t>Сельские старосты</t>
  </si>
  <si>
    <t>34.1.</t>
  </si>
  <si>
    <t>Количество муниципальных образований, на территории которых:</t>
  </si>
  <si>
    <t>34.1.1.</t>
  </si>
  <si>
    <t xml:space="preserve">  предусмотрено назначение сельских старост</t>
  </si>
  <si>
    <t>34.1.2.</t>
  </si>
  <si>
    <t xml:space="preserve">  избраны (назначены) и действуют сельские старосты (не менее одного)</t>
  </si>
  <si>
    <t>34.1.3.</t>
  </si>
  <si>
    <t xml:space="preserve">  сельские старосты получали в 2024 г. средства на компенсацию расходов из бюджетов</t>
  </si>
  <si>
    <t>34.2.</t>
  </si>
  <si>
    <t>Количество избранных (назначенных) сельских старост, работающих в сельских населенных пунктах в границах:</t>
  </si>
  <si>
    <t>34.2.1.</t>
  </si>
  <si>
    <t>34.2.2.</t>
  </si>
  <si>
    <t>34.2.3.</t>
  </si>
  <si>
    <t>34.3.</t>
  </si>
  <si>
    <t>Количество сельских старост, получавших в 2024 г. средства на компенсацию расходов из бюджетов и работающих в сельских населенных пунктах в границах:</t>
  </si>
  <si>
    <t>34.3.1.</t>
  </si>
  <si>
    <t>34.3.2.</t>
  </si>
  <si>
    <t>34.3.3.</t>
  </si>
  <si>
    <t>35.</t>
  </si>
  <si>
    <t>Взаимодействие органов местного самоуправления с контрольно-надзорными органами и судебная практика</t>
  </si>
  <si>
    <t>35.1</t>
  </si>
  <si>
    <t>Проверки органов местного самоуправления и запросы контрольно-надзорных органов</t>
  </si>
  <si>
    <t>35.1.1.</t>
  </si>
  <si>
    <t>Количество запросов контрольно-надзорных органов в органы местного самоуправления</t>
  </si>
  <si>
    <t>35.1.1.1.</t>
  </si>
  <si>
    <t>Количество запросов органов прокуратуры в органы местного самоуправления</t>
  </si>
  <si>
    <t>35.1.1.2.</t>
  </si>
  <si>
    <t>Количество запросов иных контрольно-надзорных органов (не являющихся органами прокуратуры) в органы местного самоуправления</t>
  </si>
  <si>
    <t>35.1.2.</t>
  </si>
  <si>
    <t>Общее количество проведенных (завершенных) проверок органов местного самоуправления контрольно-надзорными органами</t>
  </si>
  <si>
    <t>35.1.2.1.</t>
  </si>
  <si>
    <t>Общее количество проведенных (завершенных) проверок органов местного самоуправления органами прокуратуры</t>
  </si>
  <si>
    <t>35.1.2.2.</t>
  </si>
  <si>
    <t>Общее количество проведенных (завершенных) проверок органов местного самоуправления иными контрольно-надзорными органами (не являющимися органами прокуратуры)</t>
  </si>
  <si>
    <t>35.1.3.</t>
  </si>
  <si>
    <r>
      <t xml:space="preserve">Количество принятых решений контрольно-надзорных органов о наложении штрафов на </t>
    </r>
    <r>
      <rPr>
        <u/>
        <sz val="11"/>
        <rFont val="Calibri"/>
        <family val="2"/>
        <scheme val="minor"/>
      </rPr>
      <t>органы</t>
    </r>
    <r>
      <rPr>
        <sz val="11"/>
        <rFont val="Calibri"/>
        <family val="2"/>
        <scheme val="minor"/>
      </rPr>
      <t xml:space="preserve"> местного самоуправления</t>
    </r>
  </si>
  <si>
    <t>35.1.3.1.</t>
  </si>
  <si>
    <t>Количество принятых решений органов прокуратуры о наложении штрафов на органы местного самоуправления</t>
  </si>
  <si>
    <t>35.1.3.2.</t>
  </si>
  <si>
    <t>Количество принятых решений иных контрольно-надзорных органов (не являющихся органами прокуратуры) о наложении штрафов на органы местного самоуправления</t>
  </si>
  <si>
    <t>35.1.4.</t>
  </si>
  <si>
    <r>
      <t xml:space="preserve">Количество принятых решений контрольно-надзорных органов о наложении штрафов на </t>
    </r>
    <r>
      <rPr>
        <u/>
        <sz val="11"/>
        <rFont val="Calibri"/>
        <family val="2"/>
        <scheme val="minor"/>
      </rPr>
      <t>должностных лиц</t>
    </r>
    <r>
      <rPr>
        <sz val="11"/>
        <rFont val="Calibri"/>
        <family val="2"/>
        <scheme val="minor"/>
      </rPr>
      <t xml:space="preserve"> органов местного самоуправления</t>
    </r>
  </si>
  <si>
    <t>35.1.4.1.</t>
  </si>
  <si>
    <t>Количество принятых решений органов прокуратуры о наложении штрафов на должностных лиц органов местного самоуправления</t>
  </si>
  <si>
    <t>35.1.4.2.</t>
  </si>
  <si>
    <t>Количество принятых решений иных контрольно-надзорных органов (не являющихся органами прокуратуры) о наложении штрафов на должностных лиц органов местного самоуправления</t>
  </si>
  <si>
    <t>35.1.5.</t>
  </si>
  <si>
    <r>
      <t xml:space="preserve">Общая сумма штрафов, наложенных на </t>
    </r>
    <r>
      <rPr>
        <u/>
        <sz val="11"/>
        <rFont val="Calibri"/>
        <family val="2"/>
        <scheme val="minor"/>
      </rPr>
      <t>органы</t>
    </r>
    <r>
      <rPr>
        <sz val="11"/>
        <rFont val="Calibri"/>
        <family val="2"/>
        <scheme val="minor"/>
      </rPr>
      <t xml:space="preserve"> местного самоуправления решениями контрольно-надзорных органов (рублей)</t>
    </r>
  </si>
  <si>
    <t>35.1.5.1.</t>
  </si>
  <si>
    <t>Общая сумма штрафов, наложенных на органы местного самоуправления решениями органов прокуратуры (рублей)</t>
  </si>
  <si>
    <t>35.1.5.2.</t>
  </si>
  <si>
    <t>Общая сумма штрафов, наложенных на органы местного самоуправления решениями иных контрольно-надзорных органов (не являющихся органами прокуратуры) (рублей)</t>
  </si>
  <si>
    <t>35.1.6.</t>
  </si>
  <si>
    <r>
      <t>Общая сумма штрафов, наложенных на</t>
    </r>
    <r>
      <rPr>
        <i/>
        <sz val="11"/>
        <rFont val="Calibri"/>
        <family val="2"/>
        <scheme val="minor"/>
      </rPr>
      <t xml:space="preserve"> </t>
    </r>
    <r>
      <rPr>
        <u/>
        <sz val="11"/>
        <rFont val="Calibri"/>
        <family val="2"/>
        <scheme val="minor"/>
      </rPr>
      <t>должностных лиц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органов местного самоуправления решениями контрольно-надзорных органов (рублей)</t>
    </r>
  </si>
  <si>
    <t>35.1.6.1.</t>
  </si>
  <si>
    <t>Общая сумма штрафов, наложенных на должностных лиц органов местного самоуправления решениями органов прокуратуры (рублей)</t>
  </si>
  <si>
    <t>35.1.6.2.</t>
  </si>
  <si>
    <t>Общая сумма штрафов, наложенных на должностных лиц органов местного самоуправления решениями иных контрольно-надзорных органов (не являющихся органами прокуратуры) (рублей)</t>
  </si>
  <si>
    <t>35.1.7.</t>
  </si>
  <si>
    <t>Общая сумма штрафов по решениям контрольно-надзорных органов выплаченных в 2024 году органами местного самоуправления за счет средств бюджетов муниципальных образований (рублей)</t>
  </si>
  <si>
    <t>35.1.8.</t>
  </si>
  <si>
    <t>Общая сумма административных штрафов выплаченных в 2024 году органами местного самоуправления за счет средств бюджетов муниципальных образований за невыполнение органами местного самоуправления в срок предписаний контрольно-надзорных органов (рублей)</t>
  </si>
  <si>
    <t>35.2.</t>
  </si>
  <si>
    <t>Общее количество денежных средств, необходимых для исполнения судебных решений, вынесенных в отношении органов местного самоуправления (рублей)</t>
  </si>
  <si>
    <t>35.3.</t>
  </si>
  <si>
    <t>Общее количество судебных решений, вынесенных в отношении переданных органам местного самоуправления отдельных государственных полномочий субъектов Российской Федерации</t>
  </si>
  <si>
    <t>35.4.</t>
  </si>
  <si>
    <t>Общая сумма задолженности муниципальных образований по судебным решениям, вынесенным в отношении переданных органам местного самоуправления отдельных государственных полномочий субъектов Российской Федерации (рублей)</t>
  </si>
  <si>
    <t>35.5.</t>
  </si>
  <si>
    <t>Общая сумма начисленного в 2024 году органам местного самоуправления судебными приставами-исполнителями исполнительского сбора (рублей)</t>
  </si>
  <si>
    <t>35.6.</t>
  </si>
  <si>
    <t>Количество внесенных или направленных в соответствии с порядком и сроками составления проекта соответствующего бюджета субъекта Российской Федерации, соответствующего местного бюджета обращений главы муниципального образования, возглавляющего местную администрацию, иного должностного лица местного самоуправления, содержащих предложение о выделении бюджетных ассигнований на осуществление соответствующих полномочий органа местного самоуправления (при этом бюджетные ассигнования на указанные цели не выделялись), заявленных при рассмотрении вопроса о прекращении производства по делу об административном правонарушении в отношении указанных должностных лиц в соответствии с частью 4 статьи 24.5 КоАП РФ.</t>
  </si>
  <si>
    <t>35.6.1.</t>
  </si>
  <si>
    <t xml:space="preserve">  в представительный орган местного самоуправления</t>
  </si>
  <si>
    <t>35.6.2.</t>
  </si>
  <si>
    <t xml:space="preserve">  высшему должностному лицу субъекта Российской Федерации</t>
  </si>
  <si>
    <t>35.6.3.</t>
  </si>
  <si>
    <t xml:space="preserve">  в законодательный орган субъекта Российской Федерации</t>
  </si>
  <si>
    <t>35.6.4.*</t>
  </si>
  <si>
    <t xml:space="preserve">  в иные государственные органы и должностным лицам</t>
  </si>
  <si>
    <t>35.7.</t>
  </si>
  <si>
    <t>Количество административных дел, возбужденных в отношении органов местного самоуправления, прекращенных производством на основании части 4 статьи 24.5 КоАП РФ</t>
  </si>
  <si>
    <t>35.8.</t>
  </si>
  <si>
    <t>Меры прокурорского реагирования</t>
  </si>
  <si>
    <t>35.8.1.</t>
  </si>
  <si>
    <t>Количество протестов (представлений) прокуратуры, вынесенных в отношении органов местного самоуправления</t>
  </si>
  <si>
    <t>35.8.2.</t>
  </si>
  <si>
    <t>Количество протестов (представлений) прокуратуры, отклоненных органами местного самоуправления</t>
  </si>
  <si>
    <t>35.8.3.</t>
  </si>
  <si>
    <t>Количество обращений прокурора в защиту интересов органов местного самоуправления</t>
  </si>
  <si>
    <t>35.9.</t>
  </si>
  <si>
    <t>Нормотворческая инициатива прокурора</t>
  </si>
  <si>
    <t>35.9.1.</t>
  </si>
  <si>
    <t>Количество муниципальных образований, предоставивших право нормотворческой инициативы прокурору</t>
  </si>
  <si>
    <t>35.9.2.</t>
  </si>
  <si>
    <t>Количество заявленных нормотворческих инициатив со стороны органов прокуратуры</t>
  </si>
  <si>
    <t>36.</t>
  </si>
  <si>
    <t>Принятие в муниципальную собственность выморочного имущества</t>
  </si>
  <si>
    <t>36.1.</t>
  </si>
  <si>
    <t>Количество случаев, когда муниципалитет, принявший в муниципальную собственность выморочное имущество, вынужден отвечать по долгам наследодателя по правилам п.1 ст.1175 ГК РФ</t>
  </si>
  <si>
    <t>36.1.1.</t>
  </si>
  <si>
    <t xml:space="preserve">  перед банковскими организациями</t>
  </si>
  <si>
    <t>36.1.2.</t>
  </si>
  <si>
    <t xml:space="preserve">  перед организациями системы жилищно-коммунального хозяйства</t>
  </si>
  <si>
    <t>36.1.3.*</t>
  </si>
  <si>
    <t xml:space="preserve">  перед иными организациями</t>
  </si>
  <si>
    <t>36.2.</t>
  </si>
  <si>
    <t>Количество денежных средств местных бюджетов необходимых в 2024 году для на оплаты долгов наследодателей при приеме в муниципальную собственность выморочного имущества (рублей)</t>
  </si>
  <si>
    <t>37.</t>
  </si>
  <si>
    <t>Предоставление лицам, замещающим муниципальные должности на постоянной основе, и муниципальным служащим единовременных выплат на приобретение жилого помещения за счет местных бюджетов</t>
  </si>
  <si>
    <t>37.1.</t>
  </si>
  <si>
    <t>Число муниципальных образований, в которых муниципальными правовыми актами предусмотрено предоставление за счет местных бюджетов единовременных выплат на приобретение жилого помещения:</t>
  </si>
  <si>
    <t>37.1.1.</t>
  </si>
  <si>
    <t xml:space="preserve">  лицам, замещающим должность главы муниципального образования</t>
  </si>
  <si>
    <t>37.1.2.</t>
  </si>
  <si>
    <t xml:space="preserve">  лицам, исполняющим полномочия депутата на постоянной основе</t>
  </si>
  <si>
    <t>37.1.3.</t>
  </si>
  <si>
    <t xml:space="preserve">  лицам, замещающим должности членов контрольно-счетных органов муниципальных образований (включая их председателей, заместителей председателей и аудиторов)</t>
  </si>
  <si>
    <t>37.1.4.</t>
  </si>
  <si>
    <t xml:space="preserve">  иным должностным лицам местного самоуправления, не являющимся депутатами, главами муниципальных образований, председателями, заместителями председателей и аудиторами контрольно-счетных органов либо муниципальными служащими</t>
  </si>
  <si>
    <t>37.1.5.</t>
  </si>
  <si>
    <t xml:space="preserve">  муниципальным служащим</t>
  </si>
  <si>
    <t>37.2.</t>
  </si>
  <si>
    <t>Число лиц, получивших за счет местных бюджетов единовременных выплат на приобретение жилого помещения, в том числе:</t>
  </si>
  <si>
    <t>37.2.1.</t>
  </si>
  <si>
    <t xml:space="preserve">  лица, замещающие должность главы муниципального образования</t>
  </si>
  <si>
    <t>37.2.2.</t>
  </si>
  <si>
    <t xml:space="preserve">  лица, исполняющие полномочия депутата на постоянной основе</t>
  </si>
  <si>
    <t>37.2.3.</t>
  </si>
  <si>
    <t xml:space="preserve">  лица, замещающие должности членов контрольно-счетных органов муниципальных образований (включая их председателей, заместителей председателей и аудиторов)</t>
  </si>
  <si>
    <t>37.2.4.</t>
  </si>
  <si>
    <t xml:space="preserve">  иные должностные лица местного самоуправления, не являющиеся депутатами, главами муниципальных образований, председателями, заместителями председателей и аудиторами контрольно-счетных органов либо муниципальными служащими</t>
  </si>
  <si>
    <t>37.2.5.</t>
  </si>
  <si>
    <t xml:space="preserve">  муниципальные служащие, замещающие</t>
  </si>
  <si>
    <t>37.2.5.1.</t>
  </si>
  <si>
    <t xml:space="preserve">     высшие должности муниципальной службы</t>
  </si>
  <si>
    <t>37.2.5.2.</t>
  </si>
  <si>
    <t xml:space="preserve">     главные должности муниципальной службы</t>
  </si>
  <si>
    <t>37.2.5.3.</t>
  </si>
  <si>
    <t xml:space="preserve">     ведущие должности муниципальной службы</t>
  </si>
  <si>
    <t>37.2.5.4.</t>
  </si>
  <si>
    <t xml:space="preserve">     старшие должности муниципальной службы</t>
  </si>
  <si>
    <t>37.2.5.5.</t>
  </si>
  <si>
    <t xml:space="preserve">     младшие должности муниципальной службы</t>
  </si>
  <si>
    <t>Сведения об участниках процесса сбора, обобщения и уточнения информации в рамках мониторинга развития местного самоуправления</t>
  </si>
  <si>
    <t>Наименование органа власти субъекта Российской Федерации (структурного подразделения)</t>
  </si>
  <si>
    <t>Ф.И.О. руководителя</t>
  </si>
  <si>
    <t>Контакты (телефон с кодом города, факс, электронная почта)</t>
  </si>
  <si>
    <t>Ф.И.О. ответственного исполнителя в субъекте Российской Федерации</t>
  </si>
  <si>
    <t>5.</t>
  </si>
  <si>
    <t>Контакты (служебный телефон с кодом города, личный телефон - по желанию исполнителя, электронная почта для оперативного обмена информацией)</t>
  </si>
  <si>
    <t>Наименование территориального органа Минюста России (и его структурного подразделения)</t>
  </si>
  <si>
    <t>Ф.И.О. ответственного исполнителя в территориальном органе Минюста России</t>
  </si>
  <si>
    <t>МО ГП "поселок Пятовский"</t>
  </si>
  <si>
    <t>Администрация МО ГП "поселок Пятовский"</t>
  </si>
  <si>
    <t>Шипов Анатолий Александрович</t>
  </si>
  <si>
    <t>Глявина Татьяна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</si>
</sst>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.5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sz val="11"/>
      <name val="Calibri"/>
      <family val="2"/>
    </font>
    <font>
      <sz val="9.35"/>
      <name val="Calibri"/>
      <family val="2"/>
    </font>
    <font>
      <u/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8" fillId="4" borderId="5" xfId="0" applyFont="1" applyFill="1" applyBorder="1" applyAlignment="1">
      <alignment wrapText="1"/>
    </xf>
    <xf numFmtId="0" fontId="18" fillId="4" borderId="4" xfId="0" applyFont="1" applyFill="1" applyBorder="1" applyAlignment="1">
      <alignment wrapText="1"/>
    </xf>
    <xf numFmtId="0" fontId="18" fillId="4" borderId="6" xfId="0" applyFont="1" applyFill="1" applyBorder="1" applyAlignment="1">
      <alignment wrapText="1"/>
    </xf>
    <xf numFmtId="0" fontId="19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4" fillId="4" borderId="1" xfId="0" applyFont="1" applyFill="1" applyBorder="1" applyAlignment="1">
      <alignment wrapText="1"/>
    </xf>
    <xf numFmtId="0" fontId="18" fillId="2" borderId="1" xfId="0" applyFont="1" applyFill="1" applyBorder="1" applyAlignment="1" applyProtection="1">
      <alignment wrapText="1"/>
      <protection locked="0"/>
    </xf>
    <xf numFmtId="0" fontId="18" fillId="4" borderId="1" xfId="0" applyFont="1" applyFill="1" applyBorder="1"/>
    <xf numFmtId="0" fontId="18" fillId="5" borderId="1" xfId="0" applyFont="1" applyFill="1" applyBorder="1"/>
    <xf numFmtId="0" fontId="19" fillId="4" borderId="0" xfId="0" applyFont="1" applyFill="1"/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wrapText="1"/>
    </xf>
    <xf numFmtId="0" fontId="18" fillId="6" borderId="7" xfId="0" applyFont="1" applyFill="1" applyBorder="1" applyAlignment="1" applyProtection="1">
      <alignment wrapText="1"/>
      <protection locked="0"/>
    </xf>
    <xf numFmtId="0" fontId="18" fillId="2" borderId="7" xfId="0" applyFont="1" applyFill="1" applyBorder="1" applyAlignment="1" applyProtection="1">
      <alignment wrapText="1"/>
      <protection locked="0"/>
    </xf>
    <xf numFmtId="0" fontId="18" fillId="4" borderId="7" xfId="0" applyFont="1" applyFill="1" applyBorder="1"/>
    <xf numFmtId="0" fontId="4" fillId="2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wrapText="1"/>
    </xf>
    <xf numFmtId="0" fontId="18" fillId="4" borderId="8" xfId="0" applyFont="1" applyFill="1" applyBorder="1" applyAlignment="1" applyProtection="1">
      <alignment wrapText="1"/>
      <protection locked="0"/>
    </xf>
    <xf numFmtId="0" fontId="18" fillId="4" borderId="9" xfId="0" applyFont="1" applyFill="1" applyBorder="1"/>
    <xf numFmtId="0" fontId="18" fillId="4" borderId="6" xfId="0" applyFont="1" applyFill="1" applyBorder="1"/>
    <xf numFmtId="0" fontId="4" fillId="2" borderId="10" xfId="0" applyFont="1" applyFill="1" applyBorder="1" applyAlignment="1">
      <alignment wrapText="1"/>
    </xf>
    <xf numFmtId="0" fontId="18" fillId="4" borderId="5" xfId="0" applyFont="1" applyFill="1" applyBorder="1" applyAlignment="1" applyProtection="1">
      <alignment wrapText="1"/>
      <protection locked="0"/>
    </xf>
    <xf numFmtId="0" fontId="18" fillId="4" borderId="4" xfId="0" applyFont="1" applyFill="1" applyBorder="1" applyAlignment="1" applyProtection="1">
      <alignment wrapText="1"/>
      <protection locked="0"/>
    </xf>
    <xf numFmtId="0" fontId="13" fillId="2" borderId="1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wrapText="1"/>
    </xf>
    <xf numFmtId="0" fontId="18" fillId="6" borderId="1" xfId="0" applyFont="1" applyFill="1" applyBorder="1" applyAlignment="1" applyProtection="1">
      <alignment wrapText="1"/>
      <protection locked="0"/>
    </xf>
    <xf numFmtId="0" fontId="18" fillId="4" borderId="1" xfId="0" applyFont="1" applyFill="1" applyBorder="1" applyAlignment="1">
      <alignment wrapText="1"/>
    </xf>
    <xf numFmtId="0" fontId="1" fillId="5" borderId="0" xfId="0" applyFont="1" applyFill="1"/>
    <xf numFmtId="0" fontId="1" fillId="4" borderId="0" xfId="0" applyFont="1" applyFill="1"/>
    <xf numFmtId="0" fontId="18" fillId="0" borderId="1" xfId="0" applyFont="1" applyBorder="1" applyAlignment="1" applyProtection="1">
      <alignment wrapText="1"/>
      <protection locked="0"/>
    </xf>
    <xf numFmtId="0" fontId="18" fillId="4" borderId="11" xfId="0" applyFont="1" applyFill="1" applyBorder="1" applyAlignment="1">
      <alignment wrapText="1"/>
    </xf>
    <xf numFmtId="0" fontId="18" fillId="4" borderId="0" xfId="0" applyFont="1" applyFill="1" applyAlignment="1">
      <alignment wrapText="1"/>
    </xf>
    <xf numFmtId="0" fontId="18" fillId="4" borderId="2" xfId="0" applyFont="1" applyFill="1" applyBorder="1" applyAlignment="1">
      <alignment wrapText="1"/>
    </xf>
    <xf numFmtId="0" fontId="18" fillId="4" borderId="10" xfId="0" applyFont="1" applyFill="1" applyBorder="1" applyAlignment="1">
      <alignment wrapText="1"/>
    </xf>
    <xf numFmtId="0" fontId="18" fillId="4" borderId="12" xfId="0" applyFont="1" applyFill="1" applyBorder="1" applyAlignment="1">
      <alignment wrapText="1"/>
    </xf>
    <xf numFmtId="0" fontId="18" fillId="4" borderId="13" xfId="0" applyFont="1" applyFill="1" applyBorder="1" applyAlignment="1">
      <alignment wrapText="1"/>
    </xf>
    <xf numFmtId="0" fontId="18" fillId="4" borderId="8" xfId="0" applyFont="1" applyFill="1" applyBorder="1" applyAlignment="1">
      <alignment wrapText="1"/>
    </xf>
    <xf numFmtId="0" fontId="18" fillId="4" borderId="9" xfId="0" applyFont="1" applyFill="1" applyBorder="1" applyAlignment="1">
      <alignment wrapText="1"/>
    </xf>
    <xf numFmtId="0" fontId="18" fillId="4" borderId="7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8" fillId="4" borderId="1" xfId="0" applyFont="1" applyFill="1" applyBorder="1" applyAlignment="1" applyProtection="1">
      <alignment wrapText="1"/>
      <protection locked="0"/>
    </xf>
    <xf numFmtId="0" fontId="18" fillId="4" borderId="15" xfId="0" applyFont="1" applyFill="1" applyBorder="1" applyAlignment="1">
      <alignment wrapText="1"/>
    </xf>
    <xf numFmtId="0" fontId="18" fillId="4" borderId="13" xfId="0" applyFont="1" applyFill="1" applyBorder="1" applyAlignment="1" applyProtection="1">
      <alignment wrapText="1"/>
      <protection locked="0"/>
    </xf>
    <xf numFmtId="0" fontId="4" fillId="6" borderId="1" xfId="0" applyFont="1" applyFill="1" applyBorder="1" applyAlignment="1">
      <alignment wrapText="1"/>
    </xf>
    <xf numFmtId="0" fontId="18" fillId="2" borderId="5" xfId="0" applyFont="1" applyFill="1" applyBorder="1" applyAlignment="1" applyProtection="1">
      <alignment wrapText="1"/>
      <protection locked="0"/>
    </xf>
    <xf numFmtId="0" fontId="18" fillId="4" borderId="6" xfId="0" applyFont="1" applyFill="1" applyBorder="1" applyAlignment="1" applyProtection="1">
      <alignment wrapText="1"/>
      <protection locked="0"/>
    </xf>
    <xf numFmtId="0" fontId="18" fillId="2" borderId="6" xfId="0" applyFont="1" applyFill="1" applyBorder="1" applyAlignment="1" applyProtection="1">
      <alignment wrapText="1"/>
      <protection locked="0"/>
    </xf>
    <xf numFmtId="0" fontId="18" fillId="6" borderId="15" xfId="0" applyFont="1" applyFill="1" applyBorder="1" applyAlignment="1" applyProtection="1">
      <alignment wrapText="1"/>
      <protection locked="0"/>
    </xf>
    <xf numFmtId="0" fontId="4" fillId="6" borderId="15" xfId="0" applyFont="1" applyFill="1" applyBorder="1" applyAlignment="1">
      <alignment horizontal="left" vertical="center" wrapText="1"/>
    </xf>
    <xf numFmtId="0" fontId="4" fillId="6" borderId="15" xfId="0" applyFont="1" applyFill="1" applyBorder="1" applyAlignment="1">
      <alignment vertical="center" wrapText="1"/>
    </xf>
    <xf numFmtId="0" fontId="18" fillId="0" borderId="15" xfId="0" applyFont="1" applyBorder="1" applyAlignment="1" applyProtection="1">
      <alignment wrapText="1"/>
      <protection locked="0"/>
    </xf>
    <xf numFmtId="0" fontId="18" fillId="2" borderId="15" xfId="0" applyFont="1" applyFill="1" applyBorder="1" applyAlignment="1" applyProtection="1">
      <alignment wrapText="1"/>
      <protection locked="0"/>
    </xf>
    <xf numFmtId="0" fontId="1" fillId="4" borderId="3" xfId="0" applyFont="1" applyFill="1" applyBorder="1"/>
    <xf numFmtId="0" fontId="0" fillId="0" borderId="3" xfId="0" applyBorder="1" applyAlignment="1">
      <alignment wrapText="1"/>
    </xf>
    <xf numFmtId="0" fontId="4" fillId="6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2" fillId="4" borderId="0" xfId="0" applyFont="1" applyFill="1"/>
    <xf numFmtId="0" fontId="18" fillId="4" borderId="0" xfId="0" applyFont="1" applyFill="1"/>
    <xf numFmtId="0" fontId="4" fillId="0" borderId="1" xfId="0" applyFont="1" applyBorder="1" applyAlignment="1">
      <alignment horizontal="left" vertical="center" wrapText="1"/>
    </xf>
    <xf numFmtId="0" fontId="14" fillId="4" borderId="1" xfId="0" applyFont="1" applyFill="1" applyBorder="1"/>
    <xf numFmtId="0" fontId="23" fillId="6" borderId="1" xfId="0" applyFont="1" applyFill="1" applyBorder="1" applyAlignment="1" applyProtection="1">
      <alignment wrapText="1"/>
      <protection locked="0"/>
    </xf>
    <xf numFmtId="0" fontId="23" fillId="0" borderId="1" xfId="0" applyFont="1" applyBorder="1" applyAlignment="1" applyProtection="1">
      <alignment wrapText="1"/>
      <protection locked="0"/>
    </xf>
    <xf numFmtId="0" fontId="23" fillId="2" borderId="1" xfId="0" applyFont="1" applyFill="1" applyBorder="1" applyAlignment="1" applyProtection="1">
      <alignment wrapText="1"/>
      <protection locked="0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 wrapText="1"/>
    </xf>
    <xf numFmtId="0" fontId="23" fillId="2" borderId="7" xfId="0" applyFont="1" applyFill="1" applyBorder="1" applyAlignment="1" applyProtection="1">
      <alignment wrapText="1"/>
      <protection locked="0"/>
    </xf>
    <xf numFmtId="0" fontId="2" fillId="4" borderId="0" xfId="0" applyFont="1" applyFill="1" applyAlignment="1">
      <alignment wrapText="1"/>
    </xf>
    <xf numFmtId="14" fontId="4" fillId="6" borderId="7" xfId="0" applyNumberFormat="1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3" fillId="3" borderId="0" xfId="0" applyFont="1" applyFill="1" applyAlignment="1">
      <alignment wrapText="1"/>
    </xf>
    <xf numFmtId="0" fontId="14" fillId="4" borderId="0" xfId="0" applyFont="1" applyFill="1"/>
    <xf numFmtId="0" fontId="4" fillId="5" borderId="1" xfId="0" applyFont="1" applyFill="1" applyBorder="1"/>
    <xf numFmtId="0" fontId="23" fillId="4" borderId="7" xfId="0" applyFont="1" applyFill="1" applyBorder="1" applyAlignment="1" applyProtection="1">
      <alignment wrapText="1"/>
      <protection locked="0"/>
    </xf>
    <xf numFmtId="0" fontId="18" fillId="4" borderId="7" xfId="0" applyFont="1" applyFill="1" applyBorder="1" applyAlignment="1" applyProtection="1">
      <alignment wrapText="1"/>
      <protection locked="0"/>
    </xf>
    <xf numFmtId="0" fontId="23" fillId="4" borderId="4" xfId="0" applyFont="1" applyFill="1" applyBorder="1" applyAlignment="1" applyProtection="1">
      <alignment wrapText="1"/>
      <protection locked="0"/>
    </xf>
    <xf numFmtId="0" fontId="23" fillId="2" borderId="15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4" fillId="6" borderId="7" xfId="0" applyFont="1" applyFill="1" applyBorder="1" applyAlignment="1" applyProtection="1">
      <alignment wrapText="1"/>
      <protection locked="0"/>
    </xf>
    <xf numFmtId="0" fontId="4" fillId="6" borderId="5" xfId="0" applyFont="1" applyFill="1" applyBorder="1" applyAlignment="1">
      <alignment wrapText="1"/>
    </xf>
    <xf numFmtId="0" fontId="4" fillId="4" borderId="5" xfId="0" applyFont="1" applyFill="1" applyBorder="1" applyAlignment="1" applyProtection="1">
      <alignment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0" fontId="18" fillId="4" borderId="10" xfId="0" applyFont="1" applyFill="1" applyBorder="1" applyAlignment="1" applyProtection="1">
      <alignment wrapText="1"/>
      <protection locked="0"/>
    </xf>
    <xf numFmtId="0" fontId="4" fillId="4" borderId="14" xfId="0" applyFont="1" applyFill="1" applyBorder="1" applyAlignment="1">
      <alignment wrapText="1"/>
    </xf>
    <xf numFmtId="0" fontId="4" fillId="4" borderId="0" xfId="0" applyFont="1" applyFill="1" applyAlignment="1">
      <alignment wrapText="1"/>
    </xf>
    <xf numFmtId="0" fontId="4" fillId="4" borderId="1" xfId="0" applyFont="1" applyFill="1" applyBorder="1"/>
    <xf numFmtId="0" fontId="23" fillId="0" borderId="5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23" fillId="6" borderId="5" xfId="0" applyFont="1" applyFill="1" applyBorder="1" applyAlignment="1" applyProtection="1">
      <alignment wrapText="1"/>
      <protection locked="0"/>
    </xf>
    <xf numFmtId="0" fontId="24" fillId="4" borderId="0" xfId="0" applyFont="1" applyFill="1"/>
    <xf numFmtId="16" fontId="4" fillId="2" borderId="1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18" fillId="6" borderId="5" xfId="0" applyFont="1" applyFill="1" applyBorder="1" applyAlignment="1" applyProtection="1">
      <alignment wrapText="1"/>
      <protection locked="0"/>
    </xf>
    <xf numFmtId="0" fontId="18" fillId="6" borderId="1" xfId="0" applyFont="1" applyFill="1" applyBorder="1" applyAlignment="1">
      <alignment wrapText="1"/>
    </xf>
    <xf numFmtId="0" fontId="18" fillId="4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14" fillId="4" borderId="6" xfId="0" applyFont="1" applyFill="1" applyBorder="1"/>
    <xf numFmtId="0" fontId="13" fillId="0" borderId="1" xfId="0" applyFont="1" applyBorder="1" applyAlignment="1">
      <alignment vertical="center" wrapText="1"/>
    </xf>
    <xf numFmtId="0" fontId="4" fillId="4" borderId="8" xfId="0" applyFont="1" applyFill="1" applyBorder="1" applyAlignment="1">
      <alignment wrapText="1"/>
    </xf>
    <xf numFmtId="0" fontId="4" fillId="4" borderId="9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15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0" fillId="4" borderId="0" xfId="0" applyFill="1" applyAlignment="1" applyProtection="1">
      <alignment wrapText="1"/>
      <protection locked="0"/>
    </xf>
    <xf numFmtId="0" fontId="18" fillId="5" borderId="7" xfId="0" applyFont="1" applyFill="1" applyBorder="1"/>
    <xf numFmtId="0" fontId="14" fillId="4" borderId="7" xfId="0" applyFont="1" applyFill="1" applyBorder="1"/>
    <xf numFmtId="0" fontId="18" fillId="4" borderId="4" xfId="0" applyFont="1" applyFill="1" applyBorder="1"/>
    <xf numFmtId="0" fontId="18" fillId="4" borderId="15" xfId="0" applyFont="1" applyFill="1" applyBorder="1" applyAlignment="1" applyProtection="1">
      <alignment wrapText="1"/>
      <protection locked="0"/>
    </xf>
    <xf numFmtId="0" fontId="18" fillId="4" borderId="15" xfId="0" applyFont="1" applyFill="1" applyBorder="1"/>
    <xf numFmtId="0" fontId="14" fillId="4" borderId="15" xfId="0" applyFont="1" applyFill="1" applyBorder="1"/>
    <xf numFmtId="14" fontId="4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4" borderId="1" xfId="0" applyFont="1" applyFill="1" applyBorder="1" applyAlignment="1" applyProtection="1">
      <alignment horizontal="right" wrapText="1"/>
      <protection locked="0"/>
    </xf>
    <xf numFmtId="0" fontId="4" fillId="2" borderId="15" xfId="0" applyFont="1" applyFill="1" applyBorder="1" applyAlignment="1">
      <alignment vertical="center" wrapText="1"/>
    </xf>
    <xf numFmtId="0" fontId="18" fillId="5" borderId="15" xfId="0" applyFont="1" applyFill="1" applyBorder="1"/>
    <xf numFmtId="16" fontId="4" fillId="0" borderId="1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8" fillId="0" borderId="7" xfId="0" applyFont="1" applyBorder="1" applyAlignment="1" applyProtection="1">
      <alignment wrapText="1"/>
      <protection locked="0"/>
    </xf>
    <xf numFmtId="0" fontId="13" fillId="2" borderId="15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vertical="center" wrapText="1"/>
    </xf>
    <xf numFmtId="4" fontId="23" fillId="2" borderId="1" xfId="0" applyNumberFormat="1" applyFont="1" applyFill="1" applyBorder="1" applyAlignment="1" applyProtection="1">
      <alignment wrapText="1"/>
      <protection locked="0"/>
    </xf>
    <xf numFmtId="0" fontId="4" fillId="0" borderId="14" xfId="0" applyFont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18" fillId="4" borderId="2" xfId="0" applyFont="1" applyFill="1" applyBorder="1"/>
    <xf numFmtId="0" fontId="18" fillId="4" borderId="12" xfId="0" applyFont="1" applyFill="1" applyBorder="1"/>
    <xf numFmtId="0" fontId="4" fillId="0" borderId="14" xfId="0" applyFont="1" applyBorder="1" applyAlignment="1">
      <alignment vertical="center" wrapText="1"/>
    </xf>
    <xf numFmtId="0" fontId="18" fillId="2" borderId="7" xfId="0" applyFont="1" applyFill="1" applyBorder="1" applyAlignment="1">
      <alignment wrapText="1"/>
    </xf>
    <xf numFmtId="0" fontId="14" fillId="4" borderId="5" xfId="0" applyFont="1" applyFill="1" applyBorder="1" applyAlignment="1">
      <alignment wrapText="1"/>
    </xf>
    <xf numFmtId="0" fontId="14" fillId="4" borderId="4" xfId="0" applyFont="1" applyFill="1" applyBorder="1" applyAlignment="1">
      <alignment wrapText="1"/>
    </xf>
    <xf numFmtId="0" fontId="14" fillId="4" borderId="4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wrapText="1"/>
      <protection hidden="1"/>
    </xf>
    <xf numFmtId="0" fontId="18" fillId="4" borderId="1" xfId="0" applyFont="1" applyFill="1" applyBorder="1" applyAlignment="1" applyProtection="1">
      <alignment wrapText="1"/>
      <protection hidden="1"/>
    </xf>
    <xf numFmtId="0" fontId="18" fillId="4" borderId="1" xfId="0" applyFont="1" applyFill="1" applyBorder="1" applyProtection="1">
      <protection hidden="1"/>
    </xf>
    <xf numFmtId="0" fontId="18" fillId="4" borderId="6" xfId="0" applyFont="1" applyFill="1" applyBorder="1" applyProtection="1">
      <protection hidden="1"/>
    </xf>
    <xf numFmtId="0" fontId="4" fillId="0" borderId="7" xfId="0" applyFont="1" applyBorder="1" applyAlignment="1">
      <alignment vertical="center" wrapText="1"/>
    </xf>
    <xf numFmtId="0" fontId="4" fillId="4" borderId="7" xfId="0" applyFont="1" applyFill="1" applyBorder="1" applyAlignment="1" applyProtection="1">
      <alignment wrapText="1"/>
      <protection hidden="1"/>
    </xf>
    <xf numFmtId="0" fontId="18" fillId="4" borderId="7" xfId="0" applyFont="1" applyFill="1" applyBorder="1" applyProtection="1">
      <protection hidden="1"/>
    </xf>
    <xf numFmtId="0" fontId="18" fillId="4" borderId="9" xfId="0" applyFont="1" applyFill="1" applyBorder="1" applyProtection="1">
      <protection hidden="1"/>
    </xf>
    <xf numFmtId="0" fontId="3" fillId="2" borderId="0" xfId="0" applyFont="1" applyFill="1" applyAlignment="1">
      <alignment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wrapText="1"/>
    </xf>
    <xf numFmtId="0" fontId="18" fillId="2" borderId="8" xfId="0" applyFont="1" applyFill="1" applyBorder="1" applyAlignment="1">
      <alignment wrapText="1"/>
    </xf>
    <xf numFmtId="0" fontId="18" fillId="2" borderId="8" xfId="0" applyFont="1" applyFill="1" applyBorder="1" applyAlignment="1" applyProtection="1">
      <alignment wrapText="1"/>
      <protection locked="0"/>
    </xf>
    <xf numFmtId="0" fontId="18" fillId="2" borderId="8" xfId="0" applyFont="1" applyFill="1" applyBorder="1"/>
    <xf numFmtId="0" fontId="24" fillId="2" borderId="0" xfId="0" applyFont="1" applyFill="1"/>
    <xf numFmtId="0" fontId="4" fillId="0" borderId="0" xfId="0" applyFont="1" applyAlignment="1">
      <alignment horizontal="center" wrapText="1"/>
    </xf>
    <xf numFmtId="0" fontId="18" fillId="2" borderId="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wrapText="1"/>
    </xf>
    <xf numFmtId="0" fontId="18" fillId="0" borderId="4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26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wrapText="1"/>
    </xf>
    <xf numFmtId="0" fontId="26" fillId="2" borderId="1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07"/>
  <sheetViews>
    <sheetView tabSelected="1" zoomScale="80" zoomScaleNormal="80" workbookViewId="0">
      <selection activeCell="K920" sqref="K920"/>
    </sheetView>
  </sheetViews>
  <sheetFormatPr defaultColWidth="9.109375" defaultRowHeight="14.4" x14ac:dyDescent="0.3"/>
  <cols>
    <col min="1" max="1" width="4.109375" style="5" customWidth="1"/>
    <col min="2" max="2" width="10.33203125" style="3" customWidth="1"/>
    <col min="3" max="3" width="51.44140625" style="4" customWidth="1"/>
    <col min="4" max="9" width="12.88671875" style="5" customWidth="1"/>
    <col min="10" max="10" width="14.33203125" style="5" customWidth="1"/>
    <col min="11" max="12" width="12.88671875" style="5" customWidth="1"/>
    <col min="13" max="13" width="17.109375" style="5" customWidth="1"/>
    <col min="14" max="14" width="14.33203125" customWidth="1"/>
    <col min="15" max="15" width="12.88671875" style="6" customWidth="1"/>
    <col min="16" max="16" width="4.33203125" customWidth="1"/>
    <col min="17" max="16384" width="9.109375" style="5"/>
  </cols>
  <sheetData>
    <row r="1" spans="1:16" x14ac:dyDescent="0.3">
      <c r="A1" s="2">
        <v>12</v>
      </c>
    </row>
    <row r="2" spans="1:16" x14ac:dyDescent="0.3">
      <c r="N2" s="7"/>
      <c r="O2" s="8"/>
      <c r="P2" s="9"/>
    </row>
    <row r="3" spans="1:16" ht="15.75" customHeight="1" x14ac:dyDescent="0.3">
      <c r="I3" s="183" t="s">
        <v>1</v>
      </c>
      <c r="J3" s="184"/>
      <c r="K3" s="184"/>
      <c r="L3" s="184"/>
      <c r="M3" s="184"/>
      <c r="N3" s="184"/>
      <c r="O3" s="185"/>
      <c r="P3" s="9"/>
    </row>
    <row r="4" spans="1:16" ht="21" x14ac:dyDescent="0.4">
      <c r="B4" s="186" t="s">
        <v>2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0"/>
    </row>
    <row r="5" spans="1:16" ht="23.4" x14ac:dyDescent="0.3">
      <c r="B5" s="11"/>
      <c r="C5" s="12" t="s">
        <v>3</v>
      </c>
      <c r="D5" s="187" t="s">
        <v>1607</v>
      </c>
      <c r="E5" s="187"/>
      <c r="F5" s="187"/>
      <c r="G5" s="187"/>
      <c r="H5" s="187"/>
      <c r="I5" s="187"/>
      <c r="J5" s="187"/>
      <c r="K5" s="187"/>
      <c r="L5" s="7"/>
      <c r="M5" s="7"/>
      <c r="N5" s="9"/>
      <c r="O5" s="13"/>
      <c r="P5" s="9"/>
    </row>
    <row r="6" spans="1:16" x14ac:dyDescent="0.3">
      <c r="D6" s="188" t="s">
        <v>4</v>
      </c>
      <c r="E6" s="188"/>
      <c r="F6" s="188"/>
      <c r="G6" s="188"/>
      <c r="H6" s="188"/>
      <c r="I6" s="188"/>
      <c r="J6" s="188"/>
      <c r="K6" s="188"/>
    </row>
    <row r="7" spans="1:16" s="14" customFormat="1" ht="82.8" x14ac:dyDescent="0.3">
      <c r="B7" s="15"/>
      <c r="C7" s="15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11</v>
      </c>
      <c r="J7" s="17" t="s">
        <v>12</v>
      </c>
      <c r="K7" s="16" t="s">
        <v>13</v>
      </c>
      <c r="L7" s="16" t="s">
        <v>14</v>
      </c>
      <c r="M7" s="18" t="s">
        <v>15</v>
      </c>
      <c r="N7" s="19" t="s">
        <v>16</v>
      </c>
      <c r="O7" s="19" t="s">
        <v>17</v>
      </c>
      <c r="P7" s="20"/>
    </row>
    <row r="8" spans="1:16" s="14" customFormat="1" hidden="1" x14ac:dyDescent="0.3">
      <c r="B8" s="21" t="s">
        <v>18</v>
      </c>
      <c r="C8" s="22" t="s">
        <v>19</v>
      </c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  <c r="P8" s="26"/>
    </row>
    <row r="9" spans="1:16" s="27" customFormat="1" ht="28.8" hidden="1" x14ac:dyDescent="0.3">
      <c r="B9" s="21" t="s">
        <v>20</v>
      </c>
      <c r="C9" s="1" t="s">
        <v>21</v>
      </c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  <c r="P9" s="26"/>
    </row>
    <row r="10" spans="1:16" ht="28.8" hidden="1" x14ac:dyDescent="0.3">
      <c r="B10" s="21" t="s">
        <v>22</v>
      </c>
      <c r="C10" s="1" t="s">
        <v>23</v>
      </c>
      <c r="D10" s="28">
        <f>SUM(E10:I10)+SUM(K10:M10)</f>
        <v>19</v>
      </c>
      <c r="E10" s="29">
        <v>1</v>
      </c>
      <c r="F10" s="29">
        <v>4</v>
      </c>
      <c r="G10" s="29">
        <v>14</v>
      </c>
      <c r="H10" s="29"/>
      <c r="I10" s="29"/>
      <c r="J10" s="29"/>
      <c r="K10" s="29"/>
      <c r="L10" s="29"/>
      <c r="M10" s="29"/>
      <c r="N10" s="30"/>
      <c r="O10" s="31" t="str">
        <f>IF(NOT((J10+K10=0)*AND(H10+I10&gt;1)),"   ","Подсказка - обратить внимание на заполнение столбца J (адм. центры субъектов РФ) - они есть во всех субъектах РФ кроме Московской и Ленинградской областей, а также городов федерального значения Москвы, Санкт-Петербурга и Севастополя)")</f>
        <v xml:space="preserve">   </v>
      </c>
      <c r="P10" s="32"/>
    </row>
    <row r="11" spans="1:16" ht="28.8" hidden="1" x14ac:dyDescent="0.3">
      <c r="B11" s="21" t="s">
        <v>24</v>
      </c>
      <c r="C11" s="1" t="s">
        <v>25</v>
      </c>
      <c r="D11" s="28">
        <f t="shared" ref="D11:D12" si="0">SUM(E11:I11)+SUM(K11:M11)</f>
        <v>19</v>
      </c>
      <c r="E11" s="29">
        <v>1</v>
      </c>
      <c r="F11" s="29">
        <v>4</v>
      </c>
      <c r="G11" s="29">
        <v>14</v>
      </c>
      <c r="H11" s="29"/>
      <c r="I11" s="29"/>
      <c r="J11" s="29"/>
      <c r="K11" s="29"/>
      <c r="L11" s="29"/>
      <c r="M11" s="29"/>
      <c r="N11" s="30"/>
      <c r="O11" s="30"/>
      <c r="P11" s="32"/>
    </row>
    <row r="12" spans="1:16" ht="28.8" hidden="1" x14ac:dyDescent="0.3">
      <c r="B12" s="33" t="s">
        <v>26</v>
      </c>
      <c r="C12" s="34" t="s">
        <v>27</v>
      </c>
      <c r="D12" s="35">
        <f t="shared" si="0"/>
        <v>19</v>
      </c>
      <c r="E12" s="36">
        <v>1</v>
      </c>
      <c r="F12" s="36">
        <v>4</v>
      </c>
      <c r="G12" s="36">
        <v>14</v>
      </c>
      <c r="H12" s="36"/>
      <c r="I12" s="36"/>
      <c r="J12" s="37"/>
      <c r="K12" s="36"/>
      <c r="L12" s="36"/>
      <c r="M12" s="36"/>
      <c r="N12" s="38"/>
      <c r="O12" s="31" t="str">
        <f>IF(((D12=D10)*AND(E12=E10)*AND(F12=F10)*AND(G12=G10)*AND(H12=H10)*AND(I12=I10)*AND(K12=K10)*AND(L12=L10)*AND(M12=M10)*AND(J12=J10)),"   ","Нужно заполнить пункт 1 текстовой формы - расхождения между данными субъектов РФ и данными реестра...)")</f>
        <v xml:space="preserve">   </v>
      </c>
      <c r="P12" s="32"/>
    </row>
    <row r="13" spans="1:16" ht="43.2" hidden="1" x14ac:dyDescent="0.3">
      <c r="B13" s="21" t="s">
        <v>28</v>
      </c>
      <c r="C13" s="39" t="s">
        <v>29</v>
      </c>
      <c r="D13" s="40"/>
      <c r="E13" s="41"/>
      <c r="F13" s="41"/>
      <c r="G13" s="41"/>
      <c r="H13" s="41"/>
      <c r="I13" s="41"/>
      <c r="J13" s="41"/>
      <c r="K13" s="41"/>
      <c r="L13" s="41"/>
      <c r="M13" s="41"/>
      <c r="N13" s="42"/>
      <c r="O13" s="43"/>
      <c r="P13" s="32"/>
    </row>
    <row r="14" spans="1:16" hidden="1" x14ac:dyDescent="0.3">
      <c r="B14" s="21" t="s">
        <v>30</v>
      </c>
      <c r="C14" s="21">
        <v>2024</v>
      </c>
      <c r="D14" s="44"/>
      <c r="E14" s="45"/>
      <c r="F14" s="46"/>
      <c r="G14" s="46"/>
      <c r="H14" s="46"/>
      <c r="I14" s="46"/>
      <c r="J14" s="46"/>
      <c r="K14" s="46"/>
      <c r="L14" s="46"/>
      <c r="M14" s="46"/>
      <c r="N14" s="43"/>
      <c r="O14" s="43"/>
      <c r="P14" s="32"/>
    </row>
    <row r="15" spans="1:16" hidden="1" x14ac:dyDescent="0.3">
      <c r="B15" s="21" t="s">
        <v>31</v>
      </c>
      <c r="C15" s="21">
        <v>2023</v>
      </c>
      <c r="D15" s="44"/>
      <c r="E15" s="45"/>
      <c r="F15" s="46"/>
      <c r="G15" s="46"/>
      <c r="H15" s="46"/>
      <c r="I15" s="46"/>
      <c r="J15" s="46"/>
      <c r="K15" s="46"/>
      <c r="L15" s="46"/>
      <c r="M15" s="46"/>
      <c r="N15" s="43"/>
      <c r="O15" s="43"/>
      <c r="P15" s="32"/>
    </row>
    <row r="16" spans="1:16" hidden="1" x14ac:dyDescent="0.3">
      <c r="B16" s="21" t="s">
        <v>32</v>
      </c>
      <c r="C16" s="21">
        <v>2022</v>
      </c>
      <c r="D16" s="44"/>
      <c r="E16" s="45"/>
      <c r="F16" s="46"/>
      <c r="G16" s="46"/>
      <c r="H16" s="46"/>
      <c r="I16" s="46"/>
      <c r="J16" s="46"/>
      <c r="K16" s="46"/>
      <c r="L16" s="46"/>
      <c r="M16" s="46"/>
      <c r="N16" s="43"/>
      <c r="O16" s="43"/>
      <c r="P16" s="32"/>
    </row>
    <row r="17" spans="2:16" hidden="1" x14ac:dyDescent="0.3">
      <c r="B17" s="21" t="s">
        <v>33</v>
      </c>
      <c r="C17" s="21">
        <v>2021</v>
      </c>
      <c r="D17" s="44"/>
      <c r="E17" s="45"/>
      <c r="F17" s="46"/>
      <c r="G17" s="46"/>
      <c r="H17" s="46"/>
      <c r="I17" s="46"/>
      <c r="J17" s="46"/>
      <c r="K17" s="46"/>
      <c r="L17" s="46"/>
      <c r="M17" s="46"/>
      <c r="N17" s="43"/>
      <c r="O17" s="43"/>
      <c r="P17" s="32"/>
    </row>
    <row r="18" spans="2:16" hidden="1" x14ac:dyDescent="0.3">
      <c r="B18" s="21" t="s">
        <v>34</v>
      </c>
      <c r="C18" s="21">
        <v>2020</v>
      </c>
      <c r="D18" s="44"/>
      <c r="E18" s="45"/>
      <c r="F18" s="46"/>
      <c r="G18" s="46"/>
      <c r="H18" s="46"/>
      <c r="I18" s="46"/>
      <c r="J18" s="46"/>
      <c r="K18" s="46"/>
      <c r="L18" s="46"/>
      <c r="M18" s="46"/>
      <c r="N18" s="43"/>
      <c r="O18" s="43"/>
      <c r="P18" s="32"/>
    </row>
    <row r="19" spans="2:16" hidden="1" x14ac:dyDescent="0.3">
      <c r="B19" s="21" t="s">
        <v>35</v>
      </c>
      <c r="C19" s="21">
        <v>2019</v>
      </c>
      <c r="D19" s="44"/>
      <c r="E19" s="45"/>
      <c r="F19" s="46"/>
      <c r="G19" s="46"/>
      <c r="H19" s="46"/>
      <c r="I19" s="46"/>
      <c r="J19" s="46"/>
      <c r="K19" s="46"/>
      <c r="L19" s="46"/>
      <c r="M19" s="46"/>
      <c r="N19" s="43"/>
      <c r="O19" s="43"/>
      <c r="P19" s="32"/>
    </row>
    <row r="20" spans="2:16" hidden="1" x14ac:dyDescent="0.3">
      <c r="B20" s="21" t="s">
        <v>36</v>
      </c>
      <c r="C20" s="21" t="s">
        <v>37</v>
      </c>
      <c r="D20" s="44"/>
      <c r="E20" s="45"/>
      <c r="F20" s="46"/>
      <c r="G20" s="46"/>
      <c r="H20" s="46"/>
      <c r="I20" s="46"/>
      <c r="J20" s="46"/>
      <c r="K20" s="46"/>
      <c r="L20" s="46"/>
      <c r="M20" s="46"/>
      <c r="N20" s="43"/>
      <c r="O20" s="43"/>
      <c r="P20" s="32"/>
    </row>
    <row r="21" spans="2:16" ht="28.8" hidden="1" x14ac:dyDescent="0.3">
      <c r="B21" s="47" t="s">
        <v>38</v>
      </c>
      <c r="C21" s="22" t="s">
        <v>39</v>
      </c>
      <c r="D21" s="23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25"/>
      <c r="P21" s="32"/>
    </row>
    <row r="22" spans="2:16" ht="28.8" hidden="1" x14ac:dyDescent="0.3">
      <c r="B22" s="33" t="s">
        <v>40</v>
      </c>
      <c r="C22" s="34" t="s">
        <v>41</v>
      </c>
      <c r="D22" s="28">
        <f t="shared" ref="D22:D45" si="1">SUM(E22:I22)+SUM(K22:M22)</f>
        <v>0</v>
      </c>
      <c r="E22" s="49"/>
      <c r="F22" s="49"/>
      <c r="G22" s="49"/>
      <c r="H22" s="49"/>
      <c r="I22" s="49"/>
      <c r="J22" s="49"/>
      <c r="K22" s="49"/>
      <c r="L22" s="49"/>
      <c r="M22" s="49"/>
      <c r="N22" s="31" t="str">
        <f>IF((D22&lt;=D$10)*AND(E22&lt;=E$10)*AND(F22&lt;=F$10)*AND(G22&lt;=G$10)*AND(H22&lt;=H$10)*AND(I22&lt;=I$10)*AND(K22&lt;=K$10)*AND(L22&lt;=L$10)*AND(M22&lt;=M$10)*AND(J22&lt;=J$10),"Выполнено","ПРОВЕРИТЬ (таких муниципальных образований не может быть больше их общего числа)")</f>
        <v>Выполнено</v>
      </c>
      <c r="O22" s="31" t="str">
        <f>IF(((D22=0)),"   ","Нужно заполнить пункт 2 текстовой части (приграничные...)")</f>
        <v xml:space="preserve">   </v>
      </c>
      <c r="P22" s="32"/>
    </row>
    <row r="23" spans="2:16" ht="28.8" hidden="1" x14ac:dyDescent="0.3">
      <c r="B23" s="33" t="s">
        <v>42</v>
      </c>
      <c r="C23" s="34" t="s">
        <v>43</v>
      </c>
      <c r="D23" s="28">
        <f t="shared" si="1"/>
        <v>0</v>
      </c>
      <c r="E23" s="49"/>
      <c r="F23" s="49"/>
      <c r="G23" s="49"/>
      <c r="H23" s="49"/>
      <c r="I23" s="49"/>
      <c r="J23" s="49"/>
      <c r="K23" s="49"/>
      <c r="L23" s="49"/>
      <c r="M23" s="49"/>
      <c r="N23" s="31" t="str">
        <f>IF((D23&lt;=D$10)*AND(E23&lt;=E$10)*AND(F23&lt;=F$10)*AND(G23&lt;=G$10)*AND(H23&lt;=H$10)*AND(I23&lt;=I$10)*AND(K23&lt;=K$10)*AND(L23&lt;=L$10)*AND(M23&lt;=M$10)*AND(J23&lt;=J$10),"Выполнено","ПРОВЕРИТЬ (таких муниципальных образований не может быть больше их общего числа)")</f>
        <v>Выполнено</v>
      </c>
      <c r="O23" s="31" t="str">
        <f>IF(((D23=0)),"   ","Нужно заполнить пункт 3 текстовой части (имеющие выход к морю...)")</f>
        <v xml:space="preserve">   </v>
      </c>
      <c r="P23" s="32"/>
    </row>
    <row r="24" spans="2:16" ht="28.8" hidden="1" x14ac:dyDescent="0.3">
      <c r="B24" s="33" t="s">
        <v>44</v>
      </c>
      <c r="C24" s="34" t="s">
        <v>45</v>
      </c>
      <c r="D24" s="28">
        <f t="shared" si="1"/>
        <v>0</v>
      </c>
      <c r="E24" s="49"/>
      <c r="F24" s="49"/>
      <c r="G24" s="49"/>
      <c r="H24" s="49"/>
      <c r="I24" s="49"/>
      <c r="J24" s="49"/>
      <c r="K24" s="49"/>
      <c r="L24" s="49"/>
      <c r="M24" s="49"/>
      <c r="N24" s="31" t="str">
        <f>IF((D24&lt;=D$10)*AND(E24&lt;=E$10)*AND(F24&lt;=F$10)*AND(G24&lt;=G$10)*AND(H24&lt;=H$10)*AND(I24&lt;=I$10)*AND(K24&lt;=K$10)*AND(L24&lt;=L$10)*AND(M24&lt;=M$10)*AND(J24&lt;=J$10),"Выполнено","ПРОВЕРИТЬ (таких муниципальных образований не может быть больше их общего числа)")</f>
        <v>Выполнено</v>
      </c>
      <c r="O24" s="31" t="str">
        <f>IF(((D24=0)),"   ","Нужно заполнить пункт 4 текстовой части (расположенные на островах...)")</f>
        <v xml:space="preserve">   </v>
      </c>
      <c r="P24" s="32"/>
    </row>
    <row r="25" spans="2:16" ht="28.8" hidden="1" x14ac:dyDescent="0.3">
      <c r="B25" s="47" t="s">
        <v>46</v>
      </c>
      <c r="C25" s="22" t="s">
        <v>47</v>
      </c>
      <c r="D25" s="23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/>
      <c r="P25" s="26"/>
    </row>
    <row r="26" spans="2:16" ht="28.8" hidden="1" x14ac:dyDescent="0.3">
      <c r="B26" s="21" t="s">
        <v>48</v>
      </c>
      <c r="C26" s="1" t="s">
        <v>49</v>
      </c>
      <c r="D26" s="28">
        <f t="shared" si="1"/>
        <v>19</v>
      </c>
      <c r="E26" s="50">
        <f>SUM(E27:E34)</f>
        <v>1</v>
      </c>
      <c r="F26" s="50">
        <f t="shared" ref="F26:M26" si="2">SUM(F27:F34)</f>
        <v>4</v>
      </c>
      <c r="G26" s="50">
        <f t="shared" si="2"/>
        <v>14</v>
      </c>
      <c r="H26" s="50">
        <f t="shared" si="2"/>
        <v>0</v>
      </c>
      <c r="I26" s="50">
        <f t="shared" si="2"/>
        <v>0</v>
      </c>
      <c r="J26" s="50">
        <f>SUM(J27:J34)</f>
        <v>0</v>
      </c>
      <c r="K26" s="50">
        <f t="shared" si="2"/>
        <v>0</v>
      </c>
      <c r="L26" s="50">
        <f t="shared" si="2"/>
        <v>0</v>
      </c>
      <c r="M26" s="50">
        <f t="shared" si="2"/>
        <v>0</v>
      </c>
      <c r="N26" s="31" t="str">
        <f>IF((D26=D$10)*AND(E26=E$10)*AND(F26=F$10)*AND(G26=G$10)*AND(H26=H$10)*AND(I26=I$10)*AND(K26=K$10)*AND(L26=L$10)*AND(M26=M$10)*AND(J26=J$10),"Выполнено","ПРОВЕРИТЬ (в сумме должно получиться общее число муниципальных образований)")</f>
        <v>Выполнено</v>
      </c>
      <c r="O26" s="30"/>
      <c r="P26" s="51"/>
    </row>
    <row r="27" spans="2:16" hidden="1" x14ac:dyDescent="0.3">
      <c r="B27" s="33" t="s">
        <v>50</v>
      </c>
      <c r="C27" s="34" t="s">
        <v>51</v>
      </c>
      <c r="D27" s="28">
        <f t="shared" si="1"/>
        <v>0</v>
      </c>
      <c r="E27" s="49"/>
      <c r="F27" s="49"/>
      <c r="G27" s="49"/>
      <c r="H27" s="49"/>
      <c r="I27" s="49"/>
      <c r="J27" s="49"/>
      <c r="K27" s="49"/>
      <c r="L27" s="49"/>
      <c r="M27" s="49"/>
      <c r="N27" s="30"/>
      <c r="O27" s="31" t="str">
        <f>IF(((D27=0)),"   ","Нужно заполнить пункт 5 текстовой части (муниципалитеты с нехарактерно малой площадью...)")</f>
        <v xml:space="preserve">   </v>
      </c>
      <c r="P27" s="51"/>
    </row>
    <row r="28" spans="2:16" hidden="1" x14ac:dyDescent="0.3">
      <c r="B28" s="33" t="s">
        <v>52</v>
      </c>
      <c r="C28" s="34" t="s">
        <v>53</v>
      </c>
      <c r="D28" s="28">
        <f t="shared" si="1"/>
        <v>3</v>
      </c>
      <c r="E28" s="49"/>
      <c r="F28" s="29">
        <v>2</v>
      </c>
      <c r="G28" s="29">
        <v>1</v>
      </c>
      <c r="H28" s="49"/>
      <c r="I28" s="49"/>
      <c r="J28" s="49"/>
      <c r="K28" s="49"/>
      <c r="L28" s="29"/>
      <c r="M28" s="29"/>
      <c r="N28" s="30"/>
      <c r="O28" s="31" t="str">
        <f>IF(((E28+H28+I28+K28=0)),"   ","Нужно заполнить пункт 5 текстовой части (муниципалитеты с нехарактерно малой площадью...)")</f>
        <v xml:space="preserve">   </v>
      </c>
      <c r="P28" s="51"/>
    </row>
    <row r="29" spans="2:16" hidden="1" x14ac:dyDescent="0.3">
      <c r="B29" s="33" t="s">
        <v>54</v>
      </c>
      <c r="C29" s="34" t="s">
        <v>55</v>
      </c>
      <c r="D29" s="28">
        <f t="shared" si="1"/>
        <v>9</v>
      </c>
      <c r="E29" s="49"/>
      <c r="F29" s="29">
        <v>2</v>
      </c>
      <c r="G29" s="29">
        <v>7</v>
      </c>
      <c r="H29" s="49"/>
      <c r="I29" s="29"/>
      <c r="J29" s="29"/>
      <c r="K29" s="29"/>
      <c r="L29" s="29"/>
      <c r="M29" s="29"/>
      <c r="N29" s="30"/>
      <c r="O29" s="31" t="str">
        <f>IF(((E29+H29=0)),"   ","Нужно заполнить пункт 5 текстовой части (муниципалитеты с нехарактерно малой площадью...)")</f>
        <v xml:space="preserve">   </v>
      </c>
      <c r="P29" s="26"/>
    </row>
    <row r="30" spans="2:16" hidden="1" x14ac:dyDescent="0.3">
      <c r="B30" s="21" t="s">
        <v>56</v>
      </c>
      <c r="C30" s="1" t="s">
        <v>57</v>
      </c>
      <c r="D30" s="28">
        <f t="shared" si="1"/>
        <v>7</v>
      </c>
      <c r="E30" s="29">
        <v>1</v>
      </c>
      <c r="F30" s="29"/>
      <c r="G30" s="29">
        <v>6</v>
      </c>
      <c r="H30" s="29"/>
      <c r="I30" s="29"/>
      <c r="J30" s="29"/>
      <c r="K30" s="29"/>
      <c r="L30" s="29"/>
      <c r="M30" s="29"/>
      <c r="N30" s="30"/>
      <c r="O30" s="30"/>
      <c r="P30" s="52"/>
    </row>
    <row r="31" spans="2:16" hidden="1" x14ac:dyDescent="0.3">
      <c r="B31" s="33" t="s">
        <v>58</v>
      </c>
      <c r="C31" s="34" t="s">
        <v>59</v>
      </c>
      <c r="D31" s="28">
        <f t="shared" si="1"/>
        <v>0</v>
      </c>
      <c r="E31" s="29"/>
      <c r="F31" s="49"/>
      <c r="G31" s="49"/>
      <c r="H31" s="29"/>
      <c r="I31" s="49"/>
      <c r="J31" s="49"/>
      <c r="K31" s="49"/>
      <c r="L31" s="49"/>
      <c r="M31" s="49"/>
      <c r="N31" s="30"/>
      <c r="O31" s="31" t="str">
        <f>IF(((F31+G31+I31+K31+L31+M31=0)),"   ","Нужно заполнить пункт 5 текстовой части (муниципалитеты с нехарактерно Большой площадью...)")</f>
        <v xml:space="preserve">   </v>
      </c>
      <c r="P31" s="32"/>
    </row>
    <row r="32" spans="2:16" hidden="1" x14ac:dyDescent="0.3">
      <c r="B32" s="33" t="s">
        <v>60</v>
      </c>
      <c r="C32" s="34" t="s">
        <v>61</v>
      </c>
      <c r="D32" s="28">
        <f t="shared" si="1"/>
        <v>0</v>
      </c>
      <c r="E32" s="49"/>
      <c r="F32" s="49"/>
      <c r="G32" s="49"/>
      <c r="H32" s="49"/>
      <c r="I32" s="49"/>
      <c r="J32" s="49"/>
      <c r="K32" s="49"/>
      <c r="L32" s="49"/>
      <c r="M32" s="49"/>
      <c r="N32" s="30"/>
      <c r="O32" s="31" t="str">
        <f>IF(((D32=0)),"   ","Нужно заполнить пункт 5 текстовой части (муниципалитеты с нехарактерно большой площадью...)")</f>
        <v xml:space="preserve">   </v>
      </c>
      <c r="P32" s="32"/>
    </row>
    <row r="33" spans="2:16" hidden="1" x14ac:dyDescent="0.3">
      <c r="B33" s="33" t="s">
        <v>62</v>
      </c>
      <c r="C33" s="34" t="s">
        <v>63</v>
      </c>
      <c r="D33" s="28">
        <f t="shared" si="1"/>
        <v>0</v>
      </c>
      <c r="E33" s="49"/>
      <c r="F33" s="49"/>
      <c r="G33" s="49"/>
      <c r="H33" s="49"/>
      <c r="I33" s="49"/>
      <c r="J33" s="49"/>
      <c r="K33" s="49"/>
      <c r="L33" s="49"/>
      <c r="M33" s="49"/>
      <c r="N33" s="30"/>
      <c r="O33" s="31" t="str">
        <f>IF(((D33=0)),"   ","Нужно заполнить пункт 5 текстовой части (муниципалитеты с нехарактерно большой площадью...)")</f>
        <v xml:space="preserve">   </v>
      </c>
      <c r="P33" s="32"/>
    </row>
    <row r="34" spans="2:16" hidden="1" x14ac:dyDescent="0.3">
      <c r="B34" s="21" t="s">
        <v>64</v>
      </c>
      <c r="C34" s="1" t="s">
        <v>65</v>
      </c>
      <c r="D34" s="28">
        <f t="shared" si="1"/>
        <v>0</v>
      </c>
      <c r="E34" s="29"/>
      <c r="F34" s="29"/>
      <c r="G34" s="29"/>
      <c r="H34" s="29"/>
      <c r="I34" s="29"/>
      <c r="J34" s="29"/>
      <c r="K34" s="29"/>
      <c r="L34" s="29"/>
      <c r="M34" s="29"/>
      <c r="N34" s="30"/>
      <c r="O34" s="30"/>
      <c r="P34" s="32"/>
    </row>
    <row r="35" spans="2:16" ht="28.8" hidden="1" x14ac:dyDescent="0.3">
      <c r="B35" s="21" t="s">
        <v>66</v>
      </c>
      <c r="C35" s="1" t="s">
        <v>67</v>
      </c>
      <c r="D35" s="28">
        <f t="shared" si="1"/>
        <v>19</v>
      </c>
      <c r="E35" s="50">
        <f t="shared" ref="E35:M35" si="3">SUM(E36:E45)</f>
        <v>1</v>
      </c>
      <c r="F35" s="50">
        <f t="shared" si="3"/>
        <v>4</v>
      </c>
      <c r="G35" s="50">
        <f t="shared" si="3"/>
        <v>14</v>
      </c>
      <c r="H35" s="50">
        <f t="shared" si="3"/>
        <v>0</v>
      </c>
      <c r="I35" s="50">
        <f t="shared" si="3"/>
        <v>0</v>
      </c>
      <c r="J35" s="50">
        <f t="shared" si="3"/>
        <v>0</v>
      </c>
      <c r="K35" s="50">
        <f t="shared" si="3"/>
        <v>0</v>
      </c>
      <c r="L35" s="50">
        <f t="shared" si="3"/>
        <v>0</v>
      </c>
      <c r="M35" s="50">
        <f t="shared" si="3"/>
        <v>0</v>
      </c>
      <c r="N35" s="31" t="str">
        <f>IF((D35=D$10)*AND(E35=E$10)*AND(F35=F$10)*AND(G35=G$10)*AND(H35=H$10)*AND(I35=I$10)*AND(K35=K$10)*AND(L35=L$10)*AND(M35=M$10)*AND(J35=J$10),"Выполнено","ПРОВЕРИТЬ (в сумме должно получиться общее число муниципальных образований)")</f>
        <v>Выполнено</v>
      </c>
      <c r="O35" s="30"/>
      <c r="P35" s="32"/>
    </row>
    <row r="36" spans="2:16" hidden="1" x14ac:dyDescent="0.3">
      <c r="B36" s="33" t="s">
        <v>68</v>
      </c>
      <c r="C36" s="34" t="s">
        <v>69</v>
      </c>
      <c r="D36" s="28">
        <f t="shared" si="1"/>
        <v>0</v>
      </c>
      <c r="E36" s="49"/>
      <c r="F36" s="49"/>
      <c r="G36" s="49"/>
      <c r="H36" s="49"/>
      <c r="I36" s="49"/>
      <c r="J36" s="49"/>
      <c r="K36" s="49"/>
      <c r="L36" s="49"/>
      <c r="M36" s="49"/>
      <c r="N36" s="30"/>
      <c r="O36" s="31" t="str">
        <f>IF(((D36=0)),"   ","Нужно заполнить пункт 6 текстовой части (муниципалитеты с нехарактерно низкой численностью населения...)")</f>
        <v xml:space="preserve">   </v>
      </c>
      <c r="P36" s="32"/>
    </row>
    <row r="37" spans="2:16" hidden="1" x14ac:dyDescent="0.3">
      <c r="B37" s="33" t="s">
        <v>70</v>
      </c>
      <c r="C37" s="34" t="s">
        <v>71</v>
      </c>
      <c r="D37" s="28">
        <f t="shared" si="1"/>
        <v>8</v>
      </c>
      <c r="E37" s="49"/>
      <c r="F37" s="49"/>
      <c r="G37" s="53">
        <v>8</v>
      </c>
      <c r="H37" s="49"/>
      <c r="I37" s="49"/>
      <c r="J37" s="49"/>
      <c r="K37" s="49"/>
      <c r="L37" s="49"/>
      <c r="M37" s="49"/>
      <c r="N37" s="30"/>
      <c r="O37" s="31" t="str">
        <f>IF(((D37-G37=0)),"   ","Нужно заполнить пункт 6 текстовой части (муниципалитеты с нехарактерно низкой численностью населения...)")</f>
        <v xml:space="preserve">   </v>
      </c>
      <c r="P37" s="52"/>
    </row>
    <row r="38" spans="2:16" hidden="1" x14ac:dyDescent="0.3">
      <c r="B38" s="33" t="s">
        <v>72</v>
      </c>
      <c r="C38" s="34" t="s">
        <v>73</v>
      </c>
      <c r="D38" s="28">
        <f t="shared" si="1"/>
        <v>8</v>
      </c>
      <c r="E38" s="29"/>
      <c r="F38" s="29">
        <v>2</v>
      </c>
      <c r="G38" s="29">
        <v>6</v>
      </c>
      <c r="H38" s="29"/>
      <c r="I38" s="49"/>
      <c r="J38" s="49"/>
      <c r="K38" s="49"/>
      <c r="L38" s="29"/>
      <c r="M38" s="29"/>
      <c r="N38" s="30"/>
      <c r="O38" s="31" t="str">
        <f>IF(((I38+K38=0)),"   ","Нужно заполнить пункт 6 текстовой части (муниципалитеты с нехарактерно низкой численностью населения...)")</f>
        <v xml:space="preserve">   </v>
      </c>
      <c r="P38" s="32"/>
    </row>
    <row r="39" spans="2:16" hidden="1" x14ac:dyDescent="0.3">
      <c r="B39" s="33" t="s">
        <v>74</v>
      </c>
      <c r="C39" s="34" t="s">
        <v>75</v>
      </c>
      <c r="D39" s="28">
        <f t="shared" si="1"/>
        <v>2</v>
      </c>
      <c r="E39" s="29"/>
      <c r="F39" s="29">
        <v>2</v>
      </c>
      <c r="G39" s="49"/>
      <c r="H39" s="29"/>
      <c r="I39" s="29"/>
      <c r="J39" s="29"/>
      <c r="K39" s="29"/>
      <c r="L39" s="29"/>
      <c r="M39" s="29"/>
      <c r="N39" s="30"/>
      <c r="O39" s="31" t="str">
        <f>IF(((G39=0)),"   ","Нужно заполнить пункт 6 текстовой части (муниципалитеты с нехарактерно высокой численностью населения...)")</f>
        <v xml:space="preserve">   </v>
      </c>
      <c r="P39" s="32"/>
    </row>
    <row r="40" spans="2:16" hidden="1" x14ac:dyDescent="0.3">
      <c r="B40" s="33" t="s">
        <v>76</v>
      </c>
      <c r="C40" s="34" t="s">
        <v>77</v>
      </c>
      <c r="D40" s="28">
        <f t="shared" si="1"/>
        <v>0</v>
      </c>
      <c r="E40" s="29"/>
      <c r="F40" s="29"/>
      <c r="G40" s="49"/>
      <c r="H40" s="29"/>
      <c r="I40" s="29"/>
      <c r="J40" s="29"/>
      <c r="K40" s="29"/>
      <c r="L40" s="29"/>
      <c r="M40" s="29"/>
      <c r="N40" s="30"/>
      <c r="O40" s="31" t="str">
        <f>IF(((G40=0)),"   ","Нужно заполнить пункт 6 текстовой части (муниципалитеты с нехарактерно высокой численностью населения...)")</f>
        <v xml:space="preserve">   </v>
      </c>
      <c r="P40" s="32"/>
    </row>
    <row r="41" spans="2:16" hidden="1" x14ac:dyDescent="0.3">
      <c r="B41" s="33" t="s">
        <v>78</v>
      </c>
      <c r="C41" s="34" t="s">
        <v>79</v>
      </c>
      <c r="D41" s="28">
        <f t="shared" si="1"/>
        <v>1</v>
      </c>
      <c r="E41" s="29">
        <v>1</v>
      </c>
      <c r="F41" s="49"/>
      <c r="G41" s="49"/>
      <c r="H41" s="29"/>
      <c r="I41" s="29"/>
      <c r="J41" s="29"/>
      <c r="K41" s="29"/>
      <c r="L41" s="29"/>
      <c r="M41" s="29"/>
      <c r="N41" s="30"/>
      <c r="O41" s="31" t="str">
        <f>IF(((F41+G41=0)),"   ","Нужно заполнить пункт 6 текстовой части (муниципалитеты с нехарактерно высокой численностью населения...)")</f>
        <v xml:space="preserve">   </v>
      </c>
      <c r="P41" s="32"/>
    </row>
    <row r="42" spans="2:16" hidden="1" x14ac:dyDescent="0.3">
      <c r="B42" s="33" t="s">
        <v>80</v>
      </c>
      <c r="C42" s="34" t="s">
        <v>81</v>
      </c>
      <c r="D42" s="28">
        <f>SUM(E42:I42)+SUM(K42:M42)</f>
        <v>0</v>
      </c>
      <c r="E42" s="49"/>
      <c r="F42" s="49"/>
      <c r="G42" s="49"/>
      <c r="H42" s="29"/>
      <c r="I42" s="29"/>
      <c r="J42" s="29"/>
      <c r="K42" s="29"/>
      <c r="L42" s="49"/>
      <c r="M42" s="49"/>
      <c r="N42" s="30"/>
      <c r="O42" s="31" t="str">
        <f>IF(((E42+F42+G42+L42+M42=0)),"   ","Нужно заполнить пункт 6 текстовой части (муниципалитеты с нехарактерно высокой численностью населения...)")</f>
        <v xml:space="preserve">   </v>
      </c>
      <c r="P42" s="32"/>
    </row>
    <row r="43" spans="2:16" hidden="1" x14ac:dyDescent="0.3">
      <c r="B43" s="33" t="s">
        <v>82</v>
      </c>
      <c r="C43" s="34" t="s">
        <v>83</v>
      </c>
      <c r="D43" s="28">
        <f>SUM(E43:I43)+SUM(K43:M43)</f>
        <v>0</v>
      </c>
      <c r="E43" s="49"/>
      <c r="F43" s="49"/>
      <c r="G43" s="49"/>
      <c r="H43" s="29"/>
      <c r="I43" s="29"/>
      <c r="J43" s="29"/>
      <c r="K43" s="29"/>
      <c r="L43" s="49"/>
      <c r="M43" s="49"/>
      <c r="N43" s="30"/>
      <c r="O43" s="31" t="str">
        <f>IF(((E43+F43+G43+L43+M43=0)),"   ","Нужно заполнить пункт 6 текстовой части (муниципалитеты с нехарактерно высокой численностью населения...)")</f>
        <v xml:space="preserve">   </v>
      </c>
      <c r="P43" s="32"/>
    </row>
    <row r="44" spans="2:16" hidden="1" x14ac:dyDescent="0.3">
      <c r="B44" s="33" t="s">
        <v>84</v>
      </c>
      <c r="C44" s="34" t="s">
        <v>85</v>
      </c>
      <c r="D44" s="28">
        <f t="shared" si="1"/>
        <v>0</v>
      </c>
      <c r="E44" s="49"/>
      <c r="F44" s="49"/>
      <c r="G44" s="49"/>
      <c r="H44" s="49"/>
      <c r="I44" s="29"/>
      <c r="J44" s="29"/>
      <c r="K44" s="29"/>
      <c r="L44" s="49"/>
      <c r="M44" s="49"/>
      <c r="N44" s="30"/>
      <c r="O44" s="31" t="str">
        <f>IF(((E44+F44+G44+H44+L44+M44=0)),"   ","Нужно заполнить пункт 6 текстовой части (муниципалитеты с нехарактерно высокой численностью населения...)")</f>
        <v xml:space="preserve">   </v>
      </c>
      <c r="P44" s="32"/>
    </row>
    <row r="45" spans="2:16" hidden="1" x14ac:dyDescent="0.3">
      <c r="B45" s="33" t="s">
        <v>86</v>
      </c>
      <c r="C45" s="34" t="s">
        <v>87</v>
      </c>
      <c r="D45" s="28">
        <f t="shared" si="1"/>
        <v>0</v>
      </c>
      <c r="E45" s="49"/>
      <c r="F45" s="49"/>
      <c r="G45" s="49"/>
      <c r="H45" s="49"/>
      <c r="I45" s="29"/>
      <c r="J45" s="29"/>
      <c r="K45" s="29"/>
      <c r="L45" s="49"/>
      <c r="M45" s="49"/>
      <c r="N45" s="30"/>
      <c r="O45" s="31" t="str">
        <f>IF(((E45+F45+G45+H45+L45+M45=0)),"   ","Нужно заполнить пункт 6 текстовой части (муниципалитеты с нехарактерно высокой численностью населения...)")</f>
        <v xml:space="preserve">   </v>
      </c>
      <c r="P45" s="32"/>
    </row>
    <row r="46" spans="2:16" ht="43.2" hidden="1" x14ac:dyDescent="0.3">
      <c r="B46" s="21" t="s">
        <v>88</v>
      </c>
      <c r="C46" s="1" t="s">
        <v>89</v>
      </c>
      <c r="D46" s="23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/>
      <c r="P46" s="32"/>
    </row>
    <row r="47" spans="2:16" ht="28.8" hidden="1" x14ac:dyDescent="0.3">
      <c r="B47" s="33" t="s">
        <v>90</v>
      </c>
      <c r="C47" s="34" t="s">
        <v>91</v>
      </c>
      <c r="D47" s="28">
        <f>E47+H47+I47+K47</f>
        <v>0</v>
      </c>
      <c r="E47" s="49"/>
      <c r="F47" s="54"/>
      <c r="G47" s="55"/>
      <c r="H47" s="49"/>
      <c r="I47" s="49"/>
      <c r="J47" s="49"/>
      <c r="K47" s="49"/>
      <c r="L47" s="54"/>
      <c r="M47" s="55"/>
      <c r="N47" s="31" t="str">
        <f>IF((D47&lt;=D$10)*AND(E47&lt;=E$10)*AND(H47&lt;=H$10)*AND(I47&lt;=I$10)*AND(K47&lt;=K$10)*AND(J47&lt;=J$10),"Выполнено","ПРОВЕРИТЬ (таких муниципальных образований не может быть больше чем всего муниципальных образований соответствующего вида)")</f>
        <v>Выполнено</v>
      </c>
      <c r="O47" s="31" t="str">
        <f>IF(((I47-I10=0)),"   ","Нужно заполнить пункт 7 текстовой части (городские округа, не соответствующие установленным критериям...)")</f>
        <v xml:space="preserve">   </v>
      </c>
      <c r="P47" s="32"/>
    </row>
    <row r="48" spans="2:16" ht="28.8" hidden="1" x14ac:dyDescent="0.3">
      <c r="B48" s="33" t="s">
        <v>92</v>
      </c>
      <c r="C48" s="34" t="s">
        <v>93</v>
      </c>
      <c r="D48" s="28">
        <f t="shared" ref="D48:D50" si="4">E48+H48+I48+K48</f>
        <v>0</v>
      </c>
      <c r="E48" s="49"/>
      <c r="F48" s="54"/>
      <c r="G48" s="55"/>
      <c r="H48" s="49"/>
      <c r="I48" s="49"/>
      <c r="J48" s="49"/>
      <c r="K48" s="49"/>
      <c r="L48" s="54"/>
      <c r="M48" s="55"/>
      <c r="N48" s="31" t="str">
        <f>IF((D48&lt;=D$10)*AND(E48&lt;=E$10)*AND(H48&lt;=H$10)*AND(I48&lt;=I$10)*AND(K48&lt;=K$10)*AND(J48&lt;=J$10),"Выполнено","ПРОВЕРИТЬ (таких муниципальных образований не может быть больше чем всего муниципальных образований соответствующего вида)")</f>
        <v>Выполнено</v>
      </c>
      <c r="O48" s="31" t="str">
        <f>IF(((I48-I10=0)),"   ","Нужно заполнить пункт 7 текстовой части (городские округа, не соответствующие установленным критериям...)")</f>
        <v xml:space="preserve">   </v>
      </c>
      <c r="P48" s="32"/>
    </row>
    <row r="49" spans="2:16" ht="28.8" hidden="1" x14ac:dyDescent="0.3">
      <c r="B49" s="33" t="s">
        <v>94</v>
      </c>
      <c r="C49" s="34" t="s">
        <v>95</v>
      </c>
      <c r="D49" s="28">
        <f t="shared" si="4"/>
        <v>0</v>
      </c>
      <c r="E49" s="49"/>
      <c r="F49" s="54"/>
      <c r="G49" s="55"/>
      <c r="H49" s="49"/>
      <c r="I49" s="49"/>
      <c r="J49" s="49"/>
      <c r="K49" s="49"/>
      <c r="L49" s="54"/>
      <c r="M49" s="55"/>
      <c r="N49" s="31" t="str">
        <f>IF((D49&lt;=D$10)*AND(E49&lt;=E$10)*AND(H49&lt;=H$10)*AND(I49&lt;=I$10)*AND(K49&lt;=K$10)*AND(J49&lt;=J$10),"Выполнено","ПРОВЕРИТЬ (таких муниципальных образований не может быть больше чем всего муниципальных образований соответствующего вида)")</f>
        <v>Выполнено</v>
      </c>
      <c r="O49" s="31" t="str">
        <f>IF(((I49-I10=0)),"   ","Нужно заполнить пункт 7 текстовой части (городские округа, не соответствующие установленным критериям...)")</f>
        <v xml:space="preserve">   </v>
      </c>
      <c r="P49" s="32"/>
    </row>
    <row r="50" spans="2:16" ht="43.2" hidden="1" x14ac:dyDescent="0.3">
      <c r="B50" s="21" t="s">
        <v>96</v>
      </c>
      <c r="C50" s="1" t="s">
        <v>97</v>
      </c>
      <c r="D50" s="28">
        <f t="shared" si="4"/>
        <v>0</v>
      </c>
      <c r="E50" s="29"/>
      <c r="F50" s="54"/>
      <c r="G50" s="55"/>
      <c r="H50" s="29"/>
      <c r="I50" s="29"/>
      <c r="J50" s="29"/>
      <c r="K50" s="29"/>
      <c r="L50" s="54"/>
      <c r="M50" s="55"/>
      <c r="N50" s="31" t="str">
        <f>IF((D50&lt;=MIN(D47,D48,D49))*AND(E50&lt;=MIN(E47,E48,E49))*AND(H50&lt;=MIN(H47,H48,H49))*AND(I50&lt;=MIN(I47,I48,I49))*AND(K50&lt;=MIN(K47,K48,K49))*AND(J50&lt;=MIN(J47,J48,J49)),"Выполнено","ПРОВЕРИТЬ (муниципальных образований, соответствующих всем трем критериям одновременно, не может быть больше, чем соответствующих каждому из них)")</f>
        <v>Выполнено</v>
      </c>
      <c r="O50" s="31" t="str">
        <f>IF(((I50-I10=0)),"   ","Нужно заполнить пункт 7 текстовой части (городские округа, не соответствующие установленным критериям...)")</f>
        <v xml:space="preserve">   </v>
      </c>
      <c r="P50" s="52"/>
    </row>
    <row r="51" spans="2:16" ht="28.8" hidden="1" x14ac:dyDescent="0.3">
      <c r="B51" s="47" t="s">
        <v>98</v>
      </c>
      <c r="C51" s="22" t="s">
        <v>99</v>
      </c>
      <c r="D51" s="23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  <c r="P51" s="32"/>
    </row>
    <row r="52" spans="2:16" ht="28.8" hidden="1" x14ac:dyDescent="0.3">
      <c r="B52" s="21" t="s">
        <v>100</v>
      </c>
      <c r="C52" s="1" t="s">
        <v>101</v>
      </c>
      <c r="D52" s="28">
        <f>E52</f>
        <v>1</v>
      </c>
      <c r="E52" s="50">
        <f>SUM(E53:E57)</f>
        <v>1</v>
      </c>
      <c r="F52" s="54"/>
      <c r="G52" s="55"/>
      <c r="H52" s="55"/>
      <c r="I52" s="55"/>
      <c r="J52" s="56"/>
      <c r="K52" s="55"/>
      <c r="L52" s="55"/>
      <c r="M52" s="55"/>
      <c r="N52" s="31" t="str">
        <f>IF((E52=E$10),"Выполнено","ПРОВЕРИТЬ (в сумме должно получиться общее число муниципальных районов)")</f>
        <v>Выполнено</v>
      </c>
      <c r="O52" s="30"/>
      <c r="P52" s="32"/>
    </row>
    <row r="53" spans="2:16" hidden="1" x14ac:dyDescent="0.3">
      <c r="B53" s="33" t="s">
        <v>102</v>
      </c>
      <c r="C53" s="34" t="s">
        <v>103</v>
      </c>
      <c r="D53" s="28">
        <f t="shared" ref="D53:D62" si="5">E53</f>
        <v>0</v>
      </c>
      <c r="E53" s="49"/>
      <c r="F53" s="54"/>
      <c r="G53" s="55"/>
      <c r="H53" s="55"/>
      <c r="I53" s="55"/>
      <c r="J53" s="56"/>
      <c r="K53" s="55"/>
      <c r="L53" s="55"/>
      <c r="M53" s="55"/>
      <c r="N53" s="30"/>
      <c r="O53" s="31" t="str">
        <f>IF(((E53=0)),"   ","Нужно заполнить пункт 8 текстовой части (муниципальные районы с 1-2 поселениями или без поселений.)")</f>
        <v xml:space="preserve">   </v>
      </c>
      <c r="P53" s="32"/>
    </row>
    <row r="54" spans="2:16" hidden="1" x14ac:dyDescent="0.3">
      <c r="B54" s="21" t="s">
        <v>104</v>
      </c>
      <c r="C54" s="1" t="s">
        <v>105</v>
      </c>
      <c r="D54" s="28">
        <f t="shared" si="5"/>
        <v>0</v>
      </c>
      <c r="E54" s="29"/>
      <c r="F54" s="54"/>
      <c r="G54" s="55"/>
      <c r="H54" s="55"/>
      <c r="I54" s="55"/>
      <c r="J54" s="56"/>
      <c r="K54" s="55"/>
      <c r="L54" s="55"/>
      <c r="M54" s="55"/>
      <c r="N54" s="30"/>
      <c r="O54" s="30"/>
      <c r="P54" s="32"/>
    </row>
    <row r="55" spans="2:16" hidden="1" x14ac:dyDescent="0.3">
      <c r="B55" s="21" t="s">
        <v>106</v>
      </c>
      <c r="C55" s="1" t="s">
        <v>107</v>
      </c>
      <c r="D55" s="28">
        <f t="shared" si="5"/>
        <v>0</v>
      </c>
      <c r="E55" s="29"/>
      <c r="F55" s="54"/>
      <c r="G55" s="55"/>
      <c r="H55" s="55"/>
      <c r="I55" s="55"/>
      <c r="J55" s="56"/>
      <c r="K55" s="55"/>
      <c r="L55" s="55"/>
      <c r="M55" s="55"/>
      <c r="N55" s="30"/>
      <c r="O55" s="30"/>
      <c r="P55" s="26"/>
    </row>
    <row r="56" spans="2:16" hidden="1" x14ac:dyDescent="0.3">
      <c r="B56" s="21" t="s">
        <v>108</v>
      </c>
      <c r="C56" s="1" t="s">
        <v>109</v>
      </c>
      <c r="D56" s="28">
        <f t="shared" si="5"/>
        <v>1</v>
      </c>
      <c r="E56" s="29">
        <v>1</v>
      </c>
      <c r="F56" s="54"/>
      <c r="G56" s="55"/>
      <c r="H56" s="55"/>
      <c r="I56" s="55"/>
      <c r="J56" s="56"/>
      <c r="K56" s="55"/>
      <c r="L56" s="55"/>
      <c r="M56" s="55"/>
      <c r="N56" s="30"/>
      <c r="O56" s="30"/>
      <c r="P56" s="52"/>
    </row>
    <row r="57" spans="2:16" hidden="1" x14ac:dyDescent="0.3">
      <c r="B57" s="33" t="s">
        <v>110</v>
      </c>
      <c r="C57" s="34" t="s">
        <v>111</v>
      </c>
      <c r="D57" s="28">
        <f t="shared" si="5"/>
        <v>0</v>
      </c>
      <c r="E57" s="49"/>
      <c r="F57" s="54"/>
      <c r="G57" s="55"/>
      <c r="H57" s="55"/>
      <c r="I57" s="55"/>
      <c r="J57" s="56"/>
      <c r="K57" s="55"/>
      <c r="L57" s="55"/>
      <c r="M57" s="55"/>
      <c r="N57" s="30"/>
      <c r="O57" s="31" t="str">
        <f>IF(((E57=0)),"   ","Нужно заполнить пункт 8 текстовой части (муниципальные районы, состоящие из 21 и более поселений.)")</f>
        <v xml:space="preserve">   </v>
      </c>
      <c r="P57" s="32"/>
    </row>
    <row r="58" spans="2:16" ht="28.8" hidden="1" x14ac:dyDescent="0.3">
      <c r="B58" s="21" t="s">
        <v>112</v>
      </c>
      <c r="C58" s="1" t="s">
        <v>113</v>
      </c>
      <c r="D58" s="28">
        <f t="shared" si="5"/>
        <v>1</v>
      </c>
      <c r="E58" s="50">
        <f>SUM(E59:E61)</f>
        <v>1</v>
      </c>
      <c r="F58" s="54"/>
      <c r="G58" s="55"/>
      <c r="H58" s="55"/>
      <c r="I58" s="55"/>
      <c r="J58" s="56"/>
      <c r="K58" s="55"/>
      <c r="L58" s="55"/>
      <c r="M58" s="55"/>
      <c r="N58" s="31" t="str">
        <f>IF((E58=E$10),"Выполнено","ПРОВЕРИТЬ (в сумме должно получиться общее число муниципальных районов)")</f>
        <v>Выполнено</v>
      </c>
      <c r="O58" s="30"/>
      <c r="P58" s="32"/>
    </row>
    <row r="59" spans="2:16" hidden="1" x14ac:dyDescent="0.3">
      <c r="B59" s="21" t="s">
        <v>114</v>
      </c>
      <c r="C59" s="1" t="s">
        <v>115</v>
      </c>
      <c r="D59" s="28">
        <f t="shared" si="5"/>
        <v>0</v>
      </c>
      <c r="E59" s="29"/>
      <c r="F59" s="54"/>
      <c r="G59" s="55"/>
      <c r="H59" s="55"/>
      <c r="I59" s="55"/>
      <c r="J59" s="56"/>
      <c r="K59" s="55"/>
      <c r="L59" s="55"/>
      <c r="M59" s="55"/>
      <c r="N59" s="30"/>
      <c r="O59" s="30"/>
      <c r="P59" s="32"/>
    </row>
    <row r="60" spans="2:16" hidden="1" x14ac:dyDescent="0.3">
      <c r="B60" s="21" t="s">
        <v>116</v>
      </c>
      <c r="C60" s="1" t="s">
        <v>117</v>
      </c>
      <c r="D60" s="28">
        <f t="shared" si="5"/>
        <v>1</v>
      </c>
      <c r="E60" s="29">
        <v>1</v>
      </c>
      <c r="F60" s="54"/>
      <c r="G60" s="55"/>
      <c r="H60" s="55"/>
      <c r="I60" s="55"/>
      <c r="J60" s="56"/>
      <c r="K60" s="55"/>
      <c r="L60" s="55"/>
      <c r="M60" s="55"/>
      <c r="N60" s="30"/>
      <c r="O60" s="30"/>
      <c r="P60" s="32"/>
    </row>
    <row r="61" spans="2:16" hidden="1" x14ac:dyDescent="0.3">
      <c r="B61" s="21" t="s">
        <v>118</v>
      </c>
      <c r="C61" s="1" t="s">
        <v>119</v>
      </c>
      <c r="D61" s="28">
        <f t="shared" si="5"/>
        <v>0</v>
      </c>
      <c r="E61" s="29"/>
      <c r="F61" s="54"/>
      <c r="G61" s="55"/>
      <c r="H61" s="55"/>
      <c r="I61" s="55"/>
      <c r="J61" s="56"/>
      <c r="K61" s="55"/>
      <c r="L61" s="55"/>
      <c r="M61" s="55"/>
      <c r="N61" s="30"/>
      <c r="O61" s="30"/>
      <c r="P61" s="32"/>
    </row>
    <row r="62" spans="2:16" ht="28.8" hidden="1" x14ac:dyDescent="0.3">
      <c r="B62" s="33" t="s">
        <v>120</v>
      </c>
      <c r="C62" s="34" t="s">
        <v>121</v>
      </c>
      <c r="D62" s="28">
        <f t="shared" si="5"/>
        <v>0</v>
      </c>
      <c r="E62" s="49"/>
      <c r="F62" s="57"/>
      <c r="G62" s="48"/>
      <c r="H62" s="48"/>
      <c r="I62" s="48"/>
      <c r="J62" s="58"/>
      <c r="K62" s="48"/>
      <c r="L62" s="48"/>
      <c r="M62" s="48"/>
      <c r="N62" s="31" t="str">
        <f>IF((E62&lt;=E$10),"Выполнено","ПРОВЕРИТЬ (таких муниципальных районов не может быть больше их общего числа)")</f>
        <v>Выполнено</v>
      </c>
      <c r="O62" s="31" t="str">
        <f>IF(((E62=0)),"   ","Нужно заполнить пункт 9 текстовой части 
(муниципальные районы с межселенными территориями")</f>
        <v xml:space="preserve">   </v>
      </c>
      <c r="P62" s="52"/>
    </row>
    <row r="63" spans="2:16" ht="28.8" hidden="1" x14ac:dyDescent="0.3">
      <c r="B63" s="21" t="s">
        <v>122</v>
      </c>
      <c r="C63" s="1" t="s">
        <v>123</v>
      </c>
      <c r="D63" s="28">
        <f t="shared" ref="D63:D67" si="6">SUM(E63:I63)+SUM(K63:M63)</f>
        <v>19</v>
      </c>
      <c r="E63" s="50">
        <f>SUM(E64:E67)</f>
        <v>1</v>
      </c>
      <c r="F63" s="50">
        <f t="shared" ref="F63:K63" si="7">SUM(F64:F67)</f>
        <v>4</v>
      </c>
      <c r="G63" s="50">
        <f t="shared" si="7"/>
        <v>14</v>
      </c>
      <c r="H63" s="50">
        <f t="shared" si="7"/>
        <v>0</v>
      </c>
      <c r="I63" s="50">
        <f t="shared" si="7"/>
        <v>0</v>
      </c>
      <c r="J63" s="50">
        <f>SUM(J64:J67)</f>
        <v>0</v>
      </c>
      <c r="K63" s="50">
        <f t="shared" si="7"/>
        <v>0</v>
      </c>
      <c r="L63" s="50">
        <f t="shared" ref="L63:M63" si="8">SUM(L64:L69)</f>
        <v>0</v>
      </c>
      <c r="M63" s="50">
        <f t="shared" si="8"/>
        <v>0</v>
      </c>
      <c r="N63" s="31" t="str">
        <f>IF((D63=D$10)*AND(E63=E$10)*AND(F63=F$10)*AND(G63=G$10)*AND(H63=H$10)*AND(I63=I$10)*AND(K63=K$10)*AND(L63=L$10)*AND(M63=M$10)*AND(J63=J$10),"Выполнено","ПРОВЕРИТЬ (в сумме должно получиться общее число муниципальных образований)")</f>
        <v>Выполнено</v>
      </c>
      <c r="O63" s="30"/>
      <c r="P63" s="32"/>
    </row>
    <row r="64" spans="2:16" ht="28.8" hidden="1" x14ac:dyDescent="0.3">
      <c r="B64" s="21" t="s">
        <v>124</v>
      </c>
      <c r="C64" s="1" t="s">
        <v>125</v>
      </c>
      <c r="D64" s="28">
        <f t="shared" si="6"/>
        <v>5</v>
      </c>
      <c r="E64" s="53"/>
      <c r="F64" s="53">
        <v>4</v>
      </c>
      <c r="G64" s="53">
        <v>1</v>
      </c>
      <c r="H64" s="53"/>
      <c r="I64" s="53"/>
      <c r="J64" s="29"/>
      <c r="K64" s="53"/>
      <c r="L64" s="53"/>
      <c r="M64" s="53"/>
      <c r="N64" s="30"/>
      <c r="O64" s="30"/>
      <c r="P64" s="32"/>
    </row>
    <row r="65" spans="2:16" hidden="1" x14ac:dyDescent="0.3">
      <c r="B65" s="21" t="s">
        <v>126</v>
      </c>
      <c r="C65" s="1" t="s">
        <v>127</v>
      </c>
      <c r="D65" s="28">
        <f t="shared" si="6"/>
        <v>5</v>
      </c>
      <c r="E65" s="29"/>
      <c r="F65" s="29"/>
      <c r="G65" s="29">
        <v>5</v>
      </c>
      <c r="H65" s="29"/>
      <c r="I65" s="29"/>
      <c r="J65" s="29"/>
      <c r="K65" s="29"/>
      <c r="L65" s="29"/>
      <c r="M65" s="29"/>
      <c r="N65" s="30"/>
      <c r="O65" s="30"/>
      <c r="P65" s="32"/>
    </row>
    <row r="66" spans="2:16" hidden="1" x14ac:dyDescent="0.3">
      <c r="B66" s="21" t="s">
        <v>128</v>
      </c>
      <c r="C66" s="1" t="s">
        <v>129</v>
      </c>
      <c r="D66" s="28">
        <f t="shared" si="6"/>
        <v>8</v>
      </c>
      <c r="E66" s="53"/>
      <c r="F66" s="53"/>
      <c r="G66" s="53">
        <v>8</v>
      </c>
      <c r="H66" s="53"/>
      <c r="I66" s="53"/>
      <c r="J66" s="29"/>
      <c r="K66" s="53"/>
      <c r="L66" s="53"/>
      <c r="M66" s="53"/>
      <c r="N66" s="30"/>
      <c r="O66" s="30"/>
      <c r="P66" s="52"/>
    </row>
    <row r="67" spans="2:16" hidden="1" x14ac:dyDescent="0.3">
      <c r="B67" s="21" t="s">
        <v>130</v>
      </c>
      <c r="C67" s="1" t="s">
        <v>131</v>
      </c>
      <c r="D67" s="28">
        <f t="shared" si="6"/>
        <v>1</v>
      </c>
      <c r="E67" s="53">
        <v>1</v>
      </c>
      <c r="F67" s="53"/>
      <c r="G67" s="53"/>
      <c r="H67" s="53"/>
      <c r="I67" s="53"/>
      <c r="J67" s="29"/>
      <c r="K67" s="53"/>
      <c r="L67" s="53"/>
      <c r="M67" s="53"/>
      <c r="N67" s="30"/>
      <c r="O67" s="30"/>
      <c r="P67" s="52"/>
    </row>
    <row r="68" spans="2:16" hidden="1" x14ac:dyDescent="0.3">
      <c r="B68" s="21" t="s">
        <v>132</v>
      </c>
      <c r="C68" s="1" t="s">
        <v>133</v>
      </c>
      <c r="D68" s="28">
        <f>L68+M68</f>
        <v>0</v>
      </c>
      <c r="E68" s="59"/>
      <c r="F68" s="60"/>
      <c r="G68" s="60"/>
      <c r="H68" s="60"/>
      <c r="I68" s="60"/>
      <c r="J68" s="59"/>
      <c r="K68" s="61"/>
      <c r="L68" s="53"/>
      <c r="M68" s="53"/>
      <c r="N68" s="30"/>
      <c r="O68" s="30"/>
      <c r="P68" s="32"/>
    </row>
    <row r="69" spans="2:16" ht="28.8" hidden="1" x14ac:dyDescent="0.3">
      <c r="B69" s="21" t="s">
        <v>134</v>
      </c>
      <c r="C69" s="1" t="s">
        <v>135</v>
      </c>
      <c r="D69" s="28">
        <f>L69+M69</f>
        <v>0</v>
      </c>
      <c r="E69" s="57"/>
      <c r="F69" s="48"/>
      <c r="G69" s="48"/>
      <c r="H69" s="48"/>
      <c r="I69" s="48"/>
      <c r="J69" s="57"/>
      <c r="K69" s="48"/>
      <c r="L69" s="53"/>
      <c r="M69" s="53"/>
      <c r="N69" s="30"/>
      <c r="O69" s="30"/>
      <c r="P69" s="32"/>
    </row>
    <row r="70" spans="2:16" hidden="1" x14ac:dyDescent="0.3">
      <c r="B70" s="21" t="s">
        <v>136</v>
      </c>
      <c r="C70" s="1" t="s">
        <v>137</v>
      </c>
      <c r="D70" s="23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/>
      <c r="P70" s="32"/>
    </row>
    <row r="71" spans="2:16" ht="28.8" hidden="1" x14ac:dyDescent="0.3">
      <c r="B71" s="21" t="s">
        <v>138</v>
      </c>
      <c r="C71" s="1" t="s">
        <v>139</v>
      </c>
      <c r="D71" s="28">
        <f>SUM(F71:I71)+K71</f>
        <v>167</v>
      </c>
      <c r="E71" s="62"/>
      <c r="F71" s="50">
        <f>SUM(F72:F74)</f>
        <v>4</v>
      </c>
      <c r="G71" s="50">
        <f t="shared" ref="G71:K71" si="9">SUM(G72:G74)</f>
        <v>163</v>
      </c>
      <c r="H71" s="50">
        <f t="shared" si="9"/>
        <v>0</v>
      </c>
      <c r="I71" s="50">
        <f t="shared" si="9"/>
        <v>0</v>
      </c>
      <c r="J71" s="50">
        <f t="shared" si="9"/>
        <v>0</v>
      </c>
      <c r="K71" s="50">
        <f t="shared" si="9"/>
        <v>0</v>
      </c>
      <c r="L71" s="59"/>
      <c r="M71" s="61"/>
      <c r="N71" s="30"/>
      <c r="O71" s="30"/>
      <c r="P71" s="32"/>
    </row>
    <row r="72" spans="2:16" hidden="1" x14ac:dyDescent="0.3">
      <c r="B72" s="21" t="s">
        <v>140</v>
      </c>
      <c r="C72" s="1" t="s">
        <v>141</v>
      </c>
      <c r="D72" s="28">
        <f t="shared" ref="D72:D74" si="10">SUM(F72:I72)+K72</f>
        <v>1</v>
      </c>
      <c r="E72" s="63"/>
      <c r="F72" s="53">
        <v>1</v>
      </c>
      <c r="G72" s="64"/>
      <c r="H72" s="53"/>
      <c r="I72" s="53"/>
      <c r="J72" s="29"/>
      <c r="K72" s="53"/>
      <c r="L72" s="54"/>
      <c r="M72" s="56"/>
      <c r="N72" s="30"/>
      <c r="O72" s="30"/>
      <c r="P72" s="32"/>
    </row>
    <row r="73" spans="2:16" hidden="1" x14ac:dyDescent="0.3">
      <c r="B73" s="21" t="s">
        <v>142</v>
      </c>
      <c r="C73" s="1" t="s">
        <v>143</v>
      </c>
      <c r="D73" s="28">
        <f t="shared" si="10"/>
        <v>4</v>
      </c>
      <c r="E73" s="63"/>
      <c r="F73" s="53">
        <v>3</v>
      </c>
      <c r="G73" s="53">
        <v>1</v>
      </c>
      <c r="H73" s="53"/>
      <c r="I73" s="53"/>
      <c r="J73" s="29"/>
      <c r="K73" s="53"/>
      <c r="L73" s="54"/>
      <c r="M73" s="56"/>
      <c r="N73" s="30"/>
      <c r="O73" s="30"/>
      <c r="P73" s="32"/>
    </row>
    <row r="74" spans="2:16" hidden="1" x14ac:dyDescent="0.3">
      <c r="B74" s="21" t="s">
        <v>144</v>
      </c>
      <c r="C74" s="1" t="s">
        <v>145</v>
      </c>
      <c r="D74" s="28">
        <f t="shared" si="10"/>
        <v>162</v>
      </c>
      <c r="E74" s="65"/>
      <c r="F74" s="53"/>
      <c r="G74" s="53">
        <v>162</v>
      </c>
      <c r="H74" s="53"/>
      <c r="I74" s="53"/>
      <c r="J74" s="29"/>
      <c r="K74" s="53"/>
      <c r="L74" s="57"/>
      <c r="M74" s="58"/>
      <c r="N74" s="30"/>
      <c r="O74" s="30"/>
      <c r="P74" s="26"/>
    </row>
    <row r="75" spans="2:16" ht="28.8" hidden="1" x14ac:dyDescent="0.3">
      <c r="B75" s="21" t="s">
        <v>146</v>
      </c>
      <c r="C75" s="1" t="s">
        <v>147</v>
      </c>
      <c r="D75" s="28">
        <f t="shared" ref="D75:D77" si="11">E75</f>
        <v>0</v>
      </c>
      <c r="E75" s="50">
        <f>SUM(E76:E77)</f>
        <v>0</v>
      </c>
      <c r="F75" s="59"/>
      <c r="G75" s="60"/>
      <c r="H75" s="60"/>
      <c r="I75" s="60"/>
      <c r="J75" s="61"/>
      <c r="K75" s="60"/>
      <c r="L75" s="60"/>
      <c r="M75" s="60"/>
      <c r="N75" s="30"/>
      <c r="O75" s="30"/>
      <c r="P75" s="32"/>
    </row>
    <row r="76" spans="2:16" hidden="1" x14ac:dyDescent="0.3">
      <c r="B76" s="21" t="s">
        <v>148</v>
      </c>
      <c r="C76" s="1" t="s">
        <v>143</v>
      </c>
      <c r="D76" s="28">
        <f t="shared" si="11"/>
        <v>0</v>
      </c>
      <c r="E76" s="53"/>
      <c r="F76" s="54"/>
      <c r="G76" s="55"/>
      <c r="H76" s="55"/>
      <c r="I76" s="55"/>
      <c r="J76" s="56"/>
      <c r="K76" s="55"/>
      <c r="L76" s="55"/>
      <c r="M76" s="55"/>
      <c r="N76" s="30"/>
      <c r="O76" s="30"/>
      <c r="P76" s="32"/>
    </row>
    <row r="77" spans="2:16" hidden="1" x14ac:dyDescent="0.3">
      <c r="B77" s="21" t="s">
        <v>149</v>
      </c>
      <c r="C77" s="1" t="s">
        <v>145</v>
      </c>
      <c r="D77" s="28">
        <f t="shared" si="11"/>
        <v>0</v>
      </c>
      <c r="E77" s="53"/>
      <c r="F77" s="57"/>
      <c r="G77" s="48"/>
      <c r="H77" s="48"/>
      <c r="I77" s="48"/>
      <c r="J77" s="58"/>
      <c r="K77" s="48"/>
      <c r="L77" s="48"/>
      <c r="M77" s="48"/>
      <c r="N77" s="30"/>
      <c r="O77" s="30"/>
      <c r="P77" s="32"/>
    </row>
    <row r="78" spans="2:16" ht="28.8" hidden="1" x14ac:dyDescent="0.3">
      <c r="B78" s="21" t="s">
        <v>150</v>
      </c>
      <c r="C78" s="1" t="s">
        <v>151</v>
      </c>
      <c r="D78" s="28">
        <f>M78</f>
        <v>0</v>
      </c>
      <c r="E78" s="59"/>
      <c r="F78" s="60"/>
      <c r="G78" s="60"/>
      <c r="H78" s="60"/>
      <c r="I78" s="60"/>
      <c r="J78" s="61"/>
      <c r="K78" s="60"/>
      <c r="L78" s="60"/>
      <c r="M78" s="50">
        <f t="shared" ref="M78" si="12">SUM(M79:M81)</f>
        <v>0</v>
      </c>
      <c r="N78" s="30"/>
      <c r="O78" s="30"/>
      <c r="P78" s="32"/>
    </row>
    <row r="79" spans="2:16" hidden="1" x14ac:dyDescent="0.3">
      <c r="B79" s="21" t="s">
        <v>152</v>
      </c>
      <c r="C79" s="1" t="s">
        <v>153</v>
      </c>
      <c r="D79" s="28">
        <f t="shared" ref="D79:D81" si="13">M79</f>
        <v>0</v>
      </c>
      <c r="E79" s="54"/>
      <c r="F79" s="55"/>
      <c r="G79" s="55"/>
      <c r="H79" s="55"/>
      <c r="I79" s="55"/>
      <c r="J79" s="56"/>
      <c r="K79" s="55"/>
      <c r="L79" s="55"/>
      <c r="M79" s="53"/>
      <c r="N79" s="30"/>
      <c r="O79" s="30"/>
      <c r="P79" s="32"/>
    </row>
    <row r="80" spans="2:16" hidden="1" x14ac:dyDescent="0.3">
      <c r="B80" s="21" t="s">
        <v>154</v>
      </c>
      <c r="C80" s="1" t="s">
        <v>155</v>
      </c>
      <c r="D80" s="28">
        <f t="shared" si="13"/>
        <v>0</v>
      </c>
      <c r="E80" s="54"/>
      <c r="F80" s="55"/>
      <c r="G80" s="55"/>
      <c r="H80" s="55"/>
      <c r="I80" s="55"/>
      <c r="J80" s="56"/>
      <c r="K80" s="55"/>
      <c r="L80" s="55"/>
      <c r="M80" s="53"/>
      <c r="N80" s="30"/>
      <c r="O80" s="30"/>
      <c r="P80" s="32"/>
    </row>
    <row r="81" spans="2:16" hidden="1" x14ac:dyDescent="0.3">
      <c r="B81" s="21" t="s">
        <v>156</v>
      </c>
      <c r="C81" s="1" t="s">
        <v>157</v>
      </c>
      <c r="D81" s="28">
        <f t="shared" si="13"/>
        <v>0</v>
      </c>
      <c r="E81" s="57"/>
      <c r="F81" s="48"/>
      <c r="G81" s="48"/>
      <c r="H81" s="48"/>
      <c r="I81" s="48"/>
      <c r="J81" s="58"/>
      <c r="K81" s="48"/>
      <c r="L81" s="48"/>
      <c r="M81" s="53"/>
      <c r="N81" s="30"/>
      <c r="O81" s="30"/>
      <c r="P81" s="32"/>
    </row>
    <row r="82" spans="2:16" ht="28.8" hidden="1" x14ac:dyDescent="0.3">
      <c r="B82" s="21" t="s">
        <v>158</v>
      </c>
      <c r="C82" s="1" t="s">
        <v>159</v>
      </c>
      <c r="D82" s="50">
        <f>SUM(D83:D85)</f>
        <v>167</v>
      </c>
      <c r="E82" s="66"/>
      <c r="F82" s="60"/>
      <c r="G82" s="60"/>
      <c r="H82" s="60"/>
      <c r="I82" s="60"/>
      <c r="J82" s="61"/>
      <c r="K82" s="60"/>
      <c r="L82" s="60"/>
      <c r="M82" s="60"/>
      <c r="N82" s="30"/>
      <c r="O82" s="30"/>
      <c r="P82" s="32"/>
    </row>
    <row r="83" spans="2:16" hidden="1" x14ac:dyDescent="0.3">
      <c r="B83" s="21" t="s">
        <v>160</v>
      </c>
      <c r="C83" s="1" t="s">
        <v>153</v>
      </c>
      <c r="D83" s="28">
        <f>D72+D79</f>
        <v>1</v>
      </c>
      <c r="E83" s="54"/>
      <c r="F83" s="55"/>
      <c r="G83" s="55"/>
      <c r="H83" s="55"/>
      <c r="I83" s="55"/>
      <c r="J83" s="56"/>
      <c r="K83" s="55"/>
      <c r="L83" s="55"/>
      <c r="M83" s="55"/>
      <c r="N83" s="30"/>
      <c r="O83" s="30"/>
      <c r="P83" s="32"/>
    </row>
    <row r="84" spans="2:16" hidden="1" x14ac:dyDescent="0.3">
      <c r="B84" s="21" t="s">
        <v>161</v>
      </c>
      <c r="C84" s="1" t="s">
        <v>155</v>
      </c>
      <c r="D84" s="28">
        <f>D73+D76+D80</f>
        <v>4</v>
      </c>
      <c r="E84" s="54"/>
      <c r="F84" s="55"/>
      <c r="G84" s="55"/>
      <c r="H84" s="55"/>
      <c r="I84" s="55"/>
      <c r="J84" s="56"/>
      <c r="K84" s="55"/>
      <c r="L84" s="55"/>
      <c r="M84" s="55"/>
      <c r="N84" s="30"/>
      <c r="O84" s="30"/>
      <c r="P84" s="32"/>
    </row>
    <row r="85" spans="2:16" hidden="1" x14ac:dyDescent="0.3">
      <c r="B85" s="21" t="s">
        <v>162</v>
      </c>
      <c r="C85" s="1" t="s">
        <v>157</v>
      </c>
      <c r="D85" s="28">
        <f>D74+D77+D81</f>
        <v>162</v>
      </c>
      <c r="E85" s="57"/>
      <c r="F85" s="48"/>
      <c r="G85" s="48"/>
      <c r="H85" s="48"/>
      <c r="I85" s="48"/>
      <c r="J85" s="58"/>
      <c r="K85" s="48"/>
      <c r="L85" s="48"/>
      <c r="M85" s="48"/>
      <c r="N85" s="30"/>
      <c r="O85" s="30"/>
      <c r="P85" s="32"/>
    </row>
    <row r="86" spans="2:16" ht="43.2" hidden="1" x14ac:dyDescent="0.3">
      <c r="B86" s="33" t="s">
        <v>163</v>
      </c>
      <c r="C86" s="34" t="s">
        <v>164</v>
      </c>
      <c r="D86" s="67"/>
      <c r="E86" s="45"/>
      <c r="F86" s="24"/>
      <c r="G86" s="24"/>
      <c r="H86" s="24"/>
      <c r="I86" s="24"/>
      <c r="J86" s="25"/>
      <c r="K86" s="24"/>
      <c r="L86" s="24"/>
      <c r="M86" s="25"/>
      <c r="N86" s="30"/>
      <c r="O86" s="31" t="str">
        <f>IF(((D86=0)),"   ","Нужно заполнить пункт 10 текстовой части (городские агломерации)")</f>
        <v xml:space="preserve">   </v>
      </c>
      <c r="P86" s="32"/>
    </row>
    <row r="87" spans="2:16" hidden="1" x14ac:dyDescent="0.3">
      <c r="B87" s="33" t="s">
        <v>165</v>
      </c>
      <c r="C87" s="34" t="s">
        <v>166</v>
      </c>
      <c r="D87" s="67">
        <v>1</v>
      </c>
      <c r="E87" s="57"/>
      <c r="F87" s="55"/>
      <c r="G87" s="55"/>
      <c r="H87" s="48"/>
      <c r="I87" s="48"/>
      <c r="J87" s="58"/>
      <c r="K87" s="55"/>
      <c r="L87" s="55"/>
      <c r="M87" s="55"/>
      <c r="N87" s="30"/>
      <c r="O87" s="31" t="str">
        <f>IF(((D87=0)),"   ","Нужно заполнить пункт 11 текстовой части (опорные населенные пункты)")</f>
        <v>Нужно заполнить пункт 11 текстовой части (опорные населенные пункты)</v>
      </c>
      <c r="P87" s="32"/>
    </row>
    <row r="88" spans="2:16" ht="43.2" hidden="1" x14ac:dyDescent="0.3">
      <c r="B88" s="21" t="s">
        <v>167</v>
      </c>
      <c r="C88" s="1" t="s">
        <v>168</v>
      </c>
      <c r="D88" s="28">
        <f>SUM(E88,H88,I88)</f>
        <v>1</v>
      </c>
      <c r="E88" s="68">
        <v>1</v>
      </c>
      <c r="F88" s="45"/>
      <c r="G88" s="69"/>
      <c r="H88" s="70"/>
      <c r="I88" s="68"/>
      <c r="J88" s="45"/>
      <c r="K88" s="46"/>
      <c r="L88" s="46"/>
      <c r="M88" s="69"/>
      <c r="N88" s="43"/>
      <c r="O88" s="30"/>
      <c r="P88" s="32"/>
    </row>
    <row r="89" spans="2:16" ht="28.8" hidden="1" x14ac:dyDescent="0.3">
      <c r="B89" s="47" t="s">
        <v>169</v>
      </c>
      <c r="C89" s="22" t="s">
        <v>170</v>
      </c>
      <c r="D89" s="23"/>
      <c r="E89" s="24"/>
      <c r="F89" s="48"/>
      <c r="G89" s="48"/>
      <c r="H89" s="24"/>
      <c r="I89" s="24"/>
      <c r="J89" s="48"/>
      <c r="K89" s="48"/>
      <c r="L89" s="48"/>
      <c r="M89" s="48"/>
      <c r="N89" s="24"/>
      <c r="O89" s="25"/>
      <c r="P89" s="32"/>
    </row>
    <row r="90" spans="2:16" ht="43.2" hidden="1" x14ac:dyDescent="0.3">
      <c r="B90" s="21" t="s">
        <v>171</v>
      </c>
      <c r="C90" s="1" t="s">
        <v>172</v>
      </c>
      <c r="D90" s="28">
        <f t="shared" ref="D90" si="14">SUM(E90:I90)+SUM(K90:M90)</f>
        <v>0</v>
      </c>
      <c r="E90" s="71"/>
      <c r="F90" s="71"/>
      <c r="G90" s="71"/>
      <c r="H90" s="71"/>
      <c r="I90" s="71"/>
      <c r="J90" s="71"/>
      <c r="K90" s="71"/>
      <c r="L90" s="71"/>
      <c r="M90" s="71"/>
      <c r="N90" s="31" t="str">
        <f>IF((D90&lt;=D$10)*AND(E90&lt;=E$10)*AND(F90&lt;=F$10)*AND(G90&lt;=G$10)*AND(H90&lt;=H$10)*AND(I90&lt;=I$10)*AND(K90&lt;=K$10)*AND(L90&lt;=L$10)*AND(M90&lt;=M$10)*AND(J90&lt;=J$10),"Выполнено","ПРОВЕРИТЬ (таких муниципальных образований не может быть больше их общего числа)")</f>
        <v>Выполнено</v>
      </c>
      <c r="O90" s="31" t="str">
        <f>IF(((D90=0)),"   ","Нужно заполнить пункт 12 текстовой части 
(муниципальные образования на федеральных территориях)")</f>
        <v xml:space="preserve">   </v>
      </c>
      <c r="P90" s="32"/>
    </row>
    <row r="91" spans="2:16" ht="28.8" hidden="1" x14ac:dyDescent="0.3">
      <c r="B91" s="21" t="s">
        <v>173</v>
      </c>
      <c r="C91" s="1" t="s">
        <v>174</v>
      </c>
      <c r="D91" s="23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/>
      <c r="P91" s="32"/>
    </row>
    <row r="92" spans="2:16" ht="28.8" hidden="1" x14ac:dyDescent="0.3">
      <c r="B92" s="33" t="s">
        <v>175</v>
      </c>
      <c r="C92" s="34" t="s">
        <v>176</v>
      </c>
      <c r="D92" s="28">
        <f>I92</f>
        <v>0</v>
      </c>
      <c r="E92" s="59"/>
      <c r="F92" s="60"/>
      <c r="G92" s="61"/>
      <c r="H92" s="61"/>
      <c r="I92" s="49"/>
      <c r="J92" s="62"/>
      <c r="K92" s="59"/>
      <c r="L92" s="61"/>
      <c r="M92" s="50"/>
      <c r="N92" s="31" t="str">
        <f>IF((I92&lt;=I$10),"Выполнено","ПРОВЕРИТЬ (таких городских округов не может быть больше их общего числа)")</f>
        <v>Выполнено</v>
      </c>
      <c r="O92" s="31" t="str">
        <f>IF(((D92=0)),"   ","Нужно заполнить пункт 13 текстовой части (ЗАТО)")</f>
        <v xml:space="preserve">   </v>
      </c>
      <c r="P92" s="32"/>
    </row>
    <row r="93" spans="2:16" ht="28.8" hidden="1" x14ac:dyDescent="0.3">
      <c r="B93" s="33" t="s">
        <v>177</v>
      </c>
      <c r="C93" s="34" t="s">
        <v>178</v>
      </c>
      <c r="D93" s="28">
        <f>I93+M93</f>
        <v>0</v>
      </c>
      <c r="E93" s="57"/>
      <c r="F93" s="48"/>
      <c r="G93" s="58"/>
      <c r="H93" s="58"/>
      <c r="I93" s="49"/>
      <c r="J93" s="65"/>
      <c r="K93" s="57"/>
      <c r="L93" s="58"/>
      <c r="M93" s="49"/>
      <c r="N93" s="31" t="str">
        <f>IF((D93&lt;=D$10),"Выполнено","ПРОВЕРИТЬ (таких муниципальных образований не может быть больше их общего числа)")</f>
        <v>Выполнено</v>
      </c>
      <c r="O93" s="31" t="str">
        <f>IF(((D93=0)),"   ","Нужно заполнить пункт 13 текстовой части 
(наукограды)")</f>
        <v xml:space="preserve">   </v>
      </c>
      <c r="P93" s="32"/>
    </row>
    <row r="94" spans="2:16" ht="43.2" hidden="1" x14ac:dyDescent="0.3">
      <c r="B94" s="21" t="s">
        <v>179</v>
      </c>
      <c r="C94" s="1" t="s">
        <v>180</v>
      </c>
      <c r="D94" s="23"/>
      <c r="E94" s="24"/>
      <c r="F94" s="24"/>
      <c r="G94" s="24"/>
      <c r="H94" s="24"/>
      <c r="I94" s="24"/>
      <c r="J94" s="24"/>
      <c r="K94" s="24"/>
      <c r="L94" s="24"/>
      <c r="M94" s="24"/>
      <c r="N94" s="25"/>
      <c r="O94" s="30"/>
      <c r="P94" s="32"/>
    </row>
    <row r="95" spans="2:16" ht="28.8" hidden="1" x14ac:dyDescent="0.3">
      <c r="B95" s="33" t="s">
        <v>181</v>
      </c>
      <c r="C95" s="34" t="s">
        <v>182</v>
      </c>
      <c r="D95" s="28">
        <f t="shared" ref="D95:D102" si="15">SUM(E95:I95)+SUM(K95:M95)</f>
        <v>0</v>
      </c>
      <c r="E95" s="49"/>
      <c r="F95" s="53"/>
      <c r="G95" s="53"/>
      <c r="H95" s="49"/>
      <c r="I95" s="49"/>
      <c r="J95" s="49"/>
      <c r="K95" s="49"/>
      <c r="L95" s="29"/>
      <c r="M95" s="49"/>
      <c r="N95" s="31" t="str">
        <f t="shared" ref="N95:N102" si="16">IF((D95&lt;=D$10)*AND(E95&lt;=E$10)*AND(F95&lt;=F$10)*AND(G95&lt;=G$10)*AND(H95&lt;=H$10)*AND(I95&lt;=I$10)*AND(K95&lt;=K$10)*AND(L95&lt;=L$10)*AND(M95&lt;=M$10)*AND(J95&lt;=J$10),"Выполнено","ПРОВЕРИТЬ (таких муниципальных образований не может быть больше их общего числа)")</f>
        <v>Выполнено</v>
      </c>
      <c r="O95" s="31" t="str">
        <f t="shared" ref="O95:O101" si="17">IF(((E95+H95+I95+K95+M95=0)),"   ","Нужно заполнить пункт 14 текстовой части 
(муниципальные образования на территориях с особыми правовыми режимами...)")</f>
        <v xml:space="preserve">   </v>
      </c>
      <c r="P95" s="32"/>
    </row>
    <row r="96" spans="2:16" ht="43.2" hidden="1" x14ac:dyDescent="0.3">
      <c r="B96" s="33" t="s">
        <v>183</v>
      </c>
      <c r="C96" s="34" t="s">
        <v>184</v>
      </c>
      <c r="D96" s="28">
        <f t="shared" si="15"/>
        <v>0</v>
      </c>
      <c r="E96" s="49"/>
      <c r="F96" s="53"/>
      <c r="G96" s="53"/>
      <c r="H96" s="49"/>
      <c r="I96" s="49"/>
      <c r="J96" s="49"/>
      <c r="K96" s="49"/>
      <c r="L96" s="29"/>
      <c r="M96" s="49"/>
      <c r="N96" s="31" t="str">
        <f t="shared" si="16"/>
        <v>Выполнено</v>
      </c>
      <c r="O96" s="31" t="str">
        <f t="shared" si="17"/>
        <v xml:space="preserve">   </v>
      </c>
      <c r="P96" s="52"/>
    </row>
    <row r="97" spans="2:16" ht="43.2" hidden="1" x14ac:dyDescent="0.3">
      <c r="B97" s="33" t="s">
        <v>185</v>
      </c>
      <c r="C97" s="34" t="s">
        <v>186</v>
      </c>
      <c r="D97" s="28">
        <f t="shared" si="15"/>
        <v>0</v>
      </c>
      <c r="E97" s="49"/>
      <c r="F97" s="53"/>
      <c r="G97" s="53"/>
      <c r="H97" s="49"/>
      <c r="I97" s="49"/>
      <c r="J97" s="49"/>
      <c r="K97" s="49"/>
      <c r="L97" s="29"/>
      <c r="M97" s="49"/>
      <c r="N97" s="31" t="str">
        <f t="shared" si="16"/>
        <v>Выполнено</v>
      </c>
      <c r="O97" s="31" t="str">
        <f t="shared" si="17"/>
        <v xml:space="preserve">   </v>
      </c>
      <c r="P97" s="52"/>
    </row>
    <row r="98" spans="2:16" ht="43.2" hidden="1" x14ac:dyDescent="0.3">
      <c r="B98" s="33" t="s">
        <v>187</v>
      </c>
      <c r="C98" s="34" t="s">
        <v>188</v>
      </c>
      <c r="D98" s="28">
        <f t="shared" si="15"/>
        <v>1</v>
      </c>
      <c r="E98" s="49"/>
      <c r="F98" s="53">
        <v>1</v>
      </c>
      <c r="G98" s="53"/>
      <c r="H98" s="49"/>
      <c r="I98" s="49"/>
      <c r="J98" s="49"/>
      <c r="K98" s="49"/>
      <c r="L98" s="29"/>
      <c r="M98" s="49"/>
      <c r="N98" s="31" t="str">
        <f t="shared" si="16"/>
        <v>Выполнено</v>
      </c>
      <c r="O98" s="31" t="str">
        <f t="shared" si="17"/>
        <v xml:space="preserve">   </v>
      </c>
      <c r="P98" s="26"/>
    </row>
    <row r="99" spans="2:16" ht="28.8" hidden="1" x14ac:dyDescent="0.3">
      <c r="B99" s="72" t="s">
        <v>189</v>
      </c>
      <c r="C99" s="73" t="s">
        <v>190</v>
      </c>
      <c r="D99" s="28">
        <f t="shared" si="15"/>
        <v>0</v>
      </c>
      <c r="E99" s="71"/>
      <c r="F99" s="74"/>
      <c r="G99" s="74"/>
      <c r="H99" s="71"/>
      <c r="I99" s="71"/>
      <c r="J99" s="71"/>
      <c r="K99" s="71"/>
      <c r="L99" s="75"/>
      <c r="M99" s="71"/>
      <c r="N99" s="31" t="str">
        <f t="shared" si="16"/>
        <v>Выполнено</v>
      </c>
      <c r="O99" s="31" t="str">
        <f t="shared" si="17"/>
        <v xml:space="preserve">   </v>
      </c>
      <c r="P99" s="52"/>
    </row>
    <row r="100" spans="2:16" ht="28.8" hidden="1" x14ac:dyDescent="0.3">
      <c r="B100" s="72" t="s">
        <v>191</v>
      </c>
      <c r="C100" s="73" t="s">
        <v>192</v>
      </c>
      <c r="D100" s="28">
        <f t="shared" si="15"/>
        <v>0</v>
      </c>
      <c r="E100" s="71"/>
      <c r="F100" s="74"/>
      <c r="G100" s="74"/>
      <c r="H100" s="71"/>
      <c r="I100" s="71"/>
      <c r="J100" s="71"/>
      <c r="K100" s="71"/>
      <c r="L100" s="75"/>
      <c r="M100" s="71"/>
      <c r="N100" s="31" t="str">
        <f t="shared" si="16"/>
        <v>Выполнено</v>
      </c>
      <c r="O100" s="31" t="str">
        <f t="shared" si="17"/>
        <v xml:space="preserve">   </v>
      </c>
      <c r="P100" s="52"/>
    </row>
    <row r="101" spans="2:16" ht="28.8" hidden="1" x14ac:dyDescent="0.3">
      <c r="B101" s="72" t="s">
        <v>193</v>
      </c>
      <c r="C101" s="73" t="s">
        <v>194</v>
      </c>
      <c r="D101" s="28">
        <f t="shared" si="15"/>
        <v>0</v>
      </c>
      <c r="E101" s="71"/>
      <c r="F101" s="74"/>
      <c r="G101" s="74"/>
      <c r="H101" s="71"/>
      <c r="I101" s="71"/>
      <c r="J101" s="71"/>
      <c r="K101" s="71"/>
      <c r="L101" s="75"/>
      <c r="M101" s="71"/>
      <c r="N101" s="31" t="str">
        <f t="shared" si="16"/>
        <v>Выполнено</v>
      </c>
      <c r="O101" s="31" t="str">
        <f t="shared" si="17"/>
        <v xml:space="preserve">   </v>
      </c>
      <c r="P101" s="52"/>
    </row>
    <row r="102" spans="2:16" s="77" customFormat="1" ht="43.2" hidden="1" x14ac:dyDescent="0.3">
      <c r="B102" s="72" t="s">
        <v>195</v>
      </c>
      <c r="C102" s="73" t="s">
        <v>196</v>
      </c>
      <c r="D102" s="28">
        <f t="shared" si="15"/>
        <v>1</v>
      </c>
      <c r="E102" s="71"/>
      <c r="F102" s="71">
        <v>1</v>
      </c>
      <c r="G102" s="71"/>
      <c r="H102" s="71"/>
      <c r="I102" s="71"/>
      <c r="J102" s="71"/>
      <c r="K102" s="71"/>
      <c r="L102" s="71"/>
      <c r="M102" s="71"/>
      <c r="N102" s="31" t="str">
        <f t="shared" si="16"/>
        <v>Выполнено</v>
      </c>
      <c r="O102" s="31" t="str">
        <f>IF(((D102=0)),"   ","Нужно заполнить пункт 15 текстовой части 
(муниципальные образования с монопрофильной экономикой)")</f>
        <v>Нужно заполнить пункт 15 текстовой части 
(муниципальные образования с монопрофильной экономикой)</v>
      </c>
      <c r="P102" s="76"/>
    </row>
    <row r="103" spans="2:16" ht="43.2" hidden="1" x14ac:dyDescent="0.3">
      <c r="B103" s="47" t="s">
        <v>197</v>
      </c>
      <c r="C103" s="22" t="s">
        <v>198</v>
      </c>
      <c r="D103" s="28">
        <f>D104+D106+D127+D128+D129</f>
        <v>0</v>
      </c>
      <c r="E103" s="59"/>
      <c r="F103" s="60"/>
      <c r="G103" s="60"/>
      <c r="H103" s="60"/>
      <c r="I103" s="60"/>
      <c r="J103" s="61"/>
      <c r="K103" s="60"/>
      <c r="L103" s="60"/>
      <c r="M103" s="60"/>
      <c r="N103" s="31" t="str">
        <f>IF(NOT((D103-D104+D130+D132=0)*AND(D10&lt;&gt;D11)),"Выполнено","ПРОВЕРИТЬ (если количество муниципальных образований изменилось, значит, были преобразования или иные изменения")</f>
        <v>Выполнено</v>
      </c>
      <c r="O103" s="30"/>
      <c r="P103" s="52"/>
    </row>
    <row r="104" spans="2:16" ht="28.8" hidden="1" x14ac:dyDescent="0.3">
      <c r="B104" s="33" t="s">
        <v>199</v>
      </c>
      <c r="C104" s="34" t="s">
        <v>200</v>
      </c>
      <c r="D104" s="78"/>
      <c r="E104" s="54"/>
      <c r="F104" s="55"/>
      <c r="G104" s="55"/>
      <c r="H104" s="55"/>
      <c r="I104" s="55"/>
      <c r="J104" s="56"/>
      <c r="K104" s="55"/>
      <c r="L104" s="55"/>
      <c r="M104" s="55"/>
      <c r="N104" s="30"/>
      <c r="O104" s="31" t="str">
        <f>IF(((D104=0)),"   ","Нужно заполнить пункт 16 текстовой части (изменения территориальной организации местного самоуправления...)")</f>
        <v xml:space="preserve">   </v>
      </c>
      <c r="P104" s="52"/>
    </row>
    <row r="105" spans="2:16" hidden="1" x14ac:dyDescent="0.3">
      <c r="B105" s="21" t="s">
        <v>201</v>
      </c>
      <c r="C105" s="1" t="s">
        <v>202</v>
      </c>
      <c r="D105" s="79"/>
      <c r="E105" s="54"/>
      <c r="F105" s="55"/>
      <c r="G105" s="55"/>
      <c r="H105" s="55"/>
      <c r="I105" s="55"/>
      <c r="J105" s="56"/>
      <c r="K105" s="55"/>
      <c r="L105" s="55"/>
      <c r="M105" s="55"/>
      <c r="N105" s="31" t="str">
        <f>IF((D105&lt;=D104),"Выполнено","ПРОВЕРИТЬ (значение этой строки не может быть больше значения предыдущей)")</f>
        <v>Выполнено</v>
      </c>
      <c r="O105" s="30"/>
      <c r="P105" s="52"/>
    </row>
    <row r="106" spans="2:16" hidden="1" x14ac:dyDescent="0.3">
      <c r="B106" s="33" t="s">
        <v>203</v>
      </c>
      <c r="C106" s="34" t="s">
        <v>204</v>
      </c>
      <c r="D106" s="28">
        <f>D107+D114+D115+D124+D125+D126</f>
        <v>0</v>
      </c>
      <c r="E106" s="54"/>
      <c r="F106" s="55"/>
      <c r="G106" s="55"/>
      <c r="H106" s="55"/>
      <c r="I106" s="55"/>
      <c r="J106" s="56"/>
      <c r="K106" s="55"/>
      <c r="L106" s="55"/>
      <c r="M106" s="55"/>
      <c r="N106" s="30"/>
      <c r="O106" s="31" t="str">
        <f t="shared" ref="O106:O129" si="18">IF(((D106=0)),"   ","Нужно заполнить пункт 16 текстовой части (изменения территориальной организации местного самоуправления...)")</f>
        <v xml:space="preserve">   </v>
      </c>
      <c r="P106" s="52"/>
    </row>
    <row r="107" spans="2:16" hidden="1" x14ac:dyDescent="0.3">
      <c r="B107" s="33" t="s">
        <v>205</v>
      </c>
      <c r="C107" s="34" t="s">
        <v>206</v>
      </c>
      <c r="D107" s="28">
        <f>SUM(D108:D113)</f>
        <v>0</v>
      </c>
      <c r="E107" s="57"/>
      <c r="F107" s="48"/>
      <c r="G107" s="48"/>
      <c r="H107" s="48"/>
      <c r="I107" s="48"/>
      <c r="J107" s="58"/>
      <c r="K107" s="48"/>
      <c r="L107" s="48"/>
      <c r="M107" s="48"/>
      <c r="N107" s="30"/>
      <c r="O107" s="31" t="str">
        <f t="shared" si="18"/>
        <v xml:space="preserve">   </v>
      </c>
      <c r="P107" s="80"/>
    </row>
    <row r="108" spans="2:16" ht="28.8" hidden="1" x14ac:dyDescent="0.3">
      <c r="B108" s="33" t="s">
        <v>207</v>
      </c>
      <c r="C108" s="34" t="s">
        <v>208</v>
      </c>
      <c r="D108" s="28">
        <f t="shared" ref="D108" si="19">SUM(E108:I108)+SUM(K108:M108)</f>
        <v>0</v>
      </c>
      <c r="E108" s="49"/>
      <c r="F108" s="49"/>
      <c r="G108" s="49"/>
      <c r="H108" s="49"/>
      <c r="I108" s="49"/>
      <c r="J108" s="50"/>
      <c r="K108" s="49"/>
      <c r="L108" s="49"/>
      <c r="M108" s="49"/>
      <c r="N108" s="30"/>
      <c r="O108" s="31" t="str">
        <f t="shared" si="18"/>
        <v xml:space="preserve">   </v>
      </c>
      <c r="P108" s="80"/>
    </row>
    <row r="109" spans="2:16" hidden="1" x14ac:dyDescent="0.3">
      <c r="B109" s="33" t="s">
        <v>209</v>
      </c>
      <c r="C109" s="34" t="s">
        <v>210</v>
      </c>
      <c r="D109" s="49"/>
      <c r="E109" s="59"/>
      <c r="F109" s="60"/>
      <c r="G109" s="60"/>
      <c r="H109" s="60"/>
      <c r="I109" s="60"/>
      <c r="J109" s="61"/>
      <c r="K109" s="60"/>
      <c r="L109" s="60"/>
      <c r="M109" s="60"/>
      <c r="N109" s="30"/>
      <c r="O109" s="31" t="str">
        <f t="shared" si="18"/>
        <v xml:space="preserve">   </v>
      </c>
      <c r="P109" s="80"/>
    </row>
    <row r="110" spans="2:16" ht="28.8" hidden="1" x14ac:dyDescent="0.3">
      <c r="B110" s="33" t="s">
        <v>211</v>
      </c>
      <c r="C110" s="34" t="s">
        <v>212</v>
      </c>
      <c r="D110" s="49"/>
      <c r="E110" s="54"/>
      <c r="F110" s="55"/>
      <c r="G110" s="55"/>
      <c r="H110" s="55"/>
      <c r="I110" s="55"/>
      <c r="J110" s="56"/>
      <c r="K110" s="55"/>
      <c r="L110" s="55"/>
      <c r="M110" s="55"/>
      <c r="N110" s="30"/>
      <c r="O110" s="31" t="str">
        <f t="shared" si="18"/>
        <v xml:space="preserve">   </v>
      </c>
      <c r="P110" s="81"/>
    </row>
    <row r="111" spans="2:16" ht="28.8" hidden="1" x14ac:dyDescent="0.3">
      <c r="B111" s="33" t="s">
        <v>213</v>
      </c>
      <c r="C111" s="34" t="s">
        <v>214</v>
      </c>
      <c r="D111" s="49"/>
      <c r="E111" s="54"/>
      <c r="F111" s="55"/>
      <c r="G111" s="55"/>
      <c r="H111" s="55"/>
      <c r="I111" s="55"/>
      <c r="J111" s="56"/>
      <c r="K111" s="55"/>
      <c r="L111" s="55"/>
      <c r="M111" s="55"/>
      <c r="N111" s="30"/>
      <c r="O111" s="31" t="str">
        <f t="shared" si="18"/>
        <v xml:space="preserve">   </v>
      </c>
    </row>
    <row r="112" spans="2:16" ht="43.2" hidden="1" x14ac:dyDescent="0.3">
      <c r="B112" s="33" t="s">
        <v>215</v>
      </c>
      <c r="C112" s="34" t="s">
        <v>216</v>
      </c>
      <c r="D112" s="49"/>
      <c r="E112" s="54"/>
      <c r="F112" s="55"/>
      <c r="G112" s="55"/>
      <c r="H112" s="55"/>
      <c r="I112" s="55"/>
      <c r="J112" s="56"/>
      <c r="K112" s="55"/>
      <c r="L112" s="55"/>
      <c r="M112" s="55"/>
      <c r="N112" s="30"/>
      <c r="O112" s="31" t="str">
        <f t="shared" si="18"/>
        <v xml:space="preserve">   </v>
      </c>
      <c r="P112" s="5"/>
    </row>
    <row r="113" spans="2:16" ht="43.2" hidden="1" x14ac:dyDescent="0.3">
      <c r="B113" s="33" t="s">
        <v>217</v>
      </c>
      <c r="C113" s="34" t="s">
        <v>218</v>
      </c>
      <c r="D113" s="49"/>
      <c r="E113" s="54"/>
      <c r="F113" s="55"/>
      <c r="G113" s="55"/>
      <c r="H113" s="55"/>
      <c r="I113" s="55"/>
      <c r="J113" s="56"/>
      <c r="K113" s="55"/>
      <c r="L113" s="55"/>
      <c r="M113" s="55"/>
      <c r="N113" s="30"/>
      <c r="O113" s="31" t="str">
        <f t="shared" si="18"/>
        <v xml:space="preserve">   </v>
      </c>
      <c r="P113" s="5"/>
    </row>
    <row r="114" spans="2:16" ht="43.2" hidden="1" x14ac:dyDescent="0.3">
      <c r="B114" s="33" t="s">
        <v>219</v>
      </c>
      <c r="C114" s="34" t="s">
        <v>220</v>
      </c>
      <c r="D114" s="28">
        <f t="shared" ref="D114" si="20">SUM(E114:I114)+SUM(K114:M114)</f>
        <v>0</v>
      </c>
      <c r="E114" s="49"/>
      <c r="F114" s="49"/>
      <c r="G114" s="49"/>
      <c r="H114" s="49"/>
      <c r="I114" s="49"/>
      <c r="J114" s="50"/>
      <c r="K114" s="49"/>
      <c r="L114" s="49"/>
      <c r="M114" s="49"/>
      <c r="N114" s="30"/>
      <c r="O114" s="31" t="str">
        <f t="shared" si="18"/>
        <v xml:space="preserve">   </v>
      </c>
      <c r="P114" s="5"/>
    </row>
    <row r="115" spans="2:16" ht="28.8" hidden="1" x14ac:dyDescent="0.3">
      <c r="B115" s="33" t="s">
        <v>221</v>
      </c>
      <c r="C115" s="34" t="s">
        <v>222</v>
      </c>
      <c r="D115" s="50">
        <f>SUM(D116:D123)</f>
        <v>0</v>
      </c>
      <c r="E115" s="59"/>
      <c r="F115" s="60"/>
      <c r="G115" s="60"/>
      <c r="H115" s="60"/>
      <c r="I115" s="60"/>
      <c r="J115" s="61"/>
      <c r="K115" s="60"/>
      <c r="L115" s="60"/>
      <c r="M115" s="60"/>
      <c r="N115" s="30"/>
      <c r="O115" s="31" t="str">
        <f t="shared" si="18"/>
        <v xml:space="preserve">   </v>
      </c>
      <c r="P115" s="80"/>
    </row>
    <row r="116" spans="2:16" hidden="1" x14ac:dyDescent="0.3">
      <c r="B116" s="33" t="s">
        <v>223</v>
      </c>
      <c r="C116" s="34" t="s">
        <v>224</v>
      </c>
      <c r="D116" s="78"/>
      <c r="E116" s="54"/>
      <c r="F116" s="55"/>
      <c r="G116" s="55"/>
      <c r="H116" s="55"/>
      <c r="I116" s="55"/>
      <c r="J116" s="56"/>
      <c r="K116" s="55"/>
      <c r="L116" s="55"/>
      <c r="M116" s="55"/>
      <c r="N116" s="30"/>
      <c r="O116" s="31" t="str">
        <f t="shared" si="18"/>
        <v xml:space="preserve">   </v>
      </c>
      <c r="P116" s="80"/>
    </row>
    <row r="117" spans="2:16" hidden="1" x14ac:dyDescent="0.3">
      <c r="B117" s="33" t="s">
        <v>225</v>
      </c>
      <c r="C117" s="34" t="s">
        <v>226</v>
      </c>
      <c r="D117" s="78"/>
      <c r="E117" s="54"/>
      <c r="F117" s="55"/>
      <c r="G117" s="55"/>
      <c r="H117" s="55"/>
      <c r="I117" s="55"/>
      <c r="J117" s="56"/>
      <c r="K117" s="55"/>
      <c r="L117" s="55"/>
      <c r="M117" s="55"/>
      <c r="N117" s="30"/>
      <c r="O117" s="31" t="str">
        <f t="shared" si="18"/>
        <v xml:space="preserve">   </v>
      </c>
      <c r="P117" s="80"/>
    </row>
    <row r="118" spans="2:16" ht="28.8" hidden="1" x14ac:dyDescent="0.3">
      <c r="B118" s="33" t="s">
        <v>227</v>
      </c>
      <c r="C118" s="34" t="s">
        <v>228</v>
      </c>
      <c r="D118" s="78"/>
      <c r="E118" s="54"/>
      <c r="F118" s="55"/>
      <c r="G118" s="55"/>
      <c r="H118" s="55"/>
      <c r="I118" s="55"/>
      <c r="J118" s="56"/>
      <c r="K118" s="55"/>
      <c r="L118" s="55"/>
      <c r="M118" s="55"/>
      <c r="N118" s="30"/>
      <c r="O118" s="31" t="str">
        <f t="shared" si="18"/>
        <v xml:space="preserve">   </v>
      </c>
      <c r="P118" s="80"/>
    </row>
    <row r="119" spans="2:16" ht="28.8" hidden="1" x14ac:dyDescent="0.3">
      <c r="B119" s="33" t="s">
        <v>229</v>
      </c>
      <c r="C119" s="34" t="s">
        <v>230</v>
      </c>
      <c r="D119" s="78"/>
      <c r="E119" s="54"/>
      <c r="F119" s="55"/>
      <c r="G119" s="55"/>
      <c r="H119" s="55"/>
      <c r="I119" s="55"/>
      <c r="J119" s="56"/>
      <c r="K119" s="55"/>
      <c r="L119" s="55"/>
      <c r="M119" s="55"/>
      <c r="N119" s="30"/>
      <c r="O119" s="31" t="str">
        <f t="shared" si="18"/>
        <v xml:space="preserve">   </v>
      </c>
      <c r="P119" s="80"/>
    </row>
    <row r="120" spans="2:16" hidden="1" x14ac:dyDescent="0.3">
      <c r="B120" s="33" t="s">
        <v>231</v>
      </c>
      <c r="C120" s="34" t="s">
        <v>232</v>
      </c>
      <c r="D120" s="78"/>
      <c r="E120" s="54"/>
      <c r="F120" s="55"/>
      <c r="G120" s="55"/>
      <c r="H120" s="55"/>
      <c r="I120" s="55"/>
      <c r="J120" s="56"/>
      <c r="K120" s="55"/>
      <c r="L120" s="55"/>
      <c r="M120" s="55"/>
      <c r="N120" s="30"/>
      <c r="O120" s="31" t="str">
        <f t="shared" si="18"/>
        <v xml:space="preserve">   </v>
      </c>
      <c r="P120" s="80"/>
    </row>
    <row r="121" spans="2:16" hidden="1" x14ac:dyDescent="0.3">
      <c r="B121" s="33" t="s">
        <v>233</v>
      </c>
      <c r="C121" s="34" t="s">
        <v>234</v>
      </c>
      <c r="D121" s="78"/>
      <c r="E121" s="54"/>
      <c r="F121" s="55"/>
      <c r="G121" s="55"/>
      <c r="H121" s="55"/>
      <c r="I121" s="55"/>
      <c r="J121" s="56"/>
      <c r="K121" s="55"/>
      <c r="L121" s="55"/>
      <c r="M121" s="55"/>
      <c r="N121" s="30"/>
      <c r="O121" s="31" t="str">
        <f t="shared" si="18"/>
        <v xml:space="preserve">   </v>
      </c>
      <c r="P121" s="80"/>
    </row>
    <row r="122" spans="2:16" ht="28.8" hidden="1" x14ac:dyDescent="0.3">
      <c r="B122" s="33" t="s">
        <v>235</v>
      </c>
      <c r="C122" s="34" t="s">
        <v>236</v>
      </c>
      <c r="D122" s="78"/>
      <c r="E122" s="54"/>
      <c r="F122" s="55"/>
      <c r="G122" s="55"/>
      <c r="H122" s="55"/>
      <c r="I122" s="55"/>
      <c r="J122" s="56"/>
      <c r="K122" s="55"/>
      <c r="L122" s="55"/>
      <c r="M122" s="55"/>
      <c r="N122" s="30"/>
      <c r="O122" s="31" t="str">
        <f t="shared" si="18"/>
        <v xml:space="preserve">   </v>
      </c>
      <c r="P122" s="80"/>
    </row>
    <row r="123" spans="2:16" ht="28.8" hidden="1" x14ac:dyDescent="0.3">
      <c r="B123" s="33" t="s">
        <v>237</v>
      </c>
      <c r="C123" s="34" t="s">
        <v>238</v>
      </c>
      <c r="D123" s="78"/>
      <c r="E123" s="54"/>
      <c r="F123" s="55"/>
      <c r="G123" s="55"/>
      <c r="H123" s="55"/>
      <c r="I123" s="55"/>
      <c r="J123" s="56"/>
      <c r="K123" s="55"/>
      <c r="L123" s="55"/>
      <c r="M123" s="55"/>
      <c r="N123" s="30"/>
      <c r="O123" s="31" t="str">
        <f t="shared" si="18"/>
        <v xml:space="preserve">   </v>
      </c>
      <c r="P123" s="80"/>
    </row>
    <row r="124" spans="2:16" ht="28.8" hidden="1" x14ac:dyDescent="0.3">
      <c r="B124" s="33" t="s">
        <v>239</v>
      </c>
      <c r="C124" s="34" t="s">
        <v>240</v>
      </c>
      <c r="D124" s="78"/>
      <c r="E124" s="54"/>
      <c r="F124" s="55"/>
      <c r="G124" s="55"/>
      <c r="H124" s="55"/>
      <c r="I124" s="55"/>
      <c r="J124" s="56"/>
      <c r="K124" s="55"/>
      <c r="L124" s="55"/>
      <c r="M124" s="55"/>
      <c r="N124" s="30"/>
      <c r="O124" s="31" t="str">
        <f t="shared" si="18"/>
        <v xml:space="preserve">   </v>
      </c>
      <c r="P124" s="80"/>
    </row>
    <row r="125" spans="2:16" ht="28.8" hidden="1" x14ac:dyDescent="0.3">
      <c r="B125" s="33" t="s">
        <v>241</v>
      </c>
      <c r="C125" s="34" t="s">
        <v>242</v>
      </c>
      <c r="D125" s="78"/>
      <c r="E125" s="54"/>
      <c r="F125" s="55"/>
      <c r="G125" s="55"/>
      <c r="H125" s="55"/>
      <c r="I125" s="55"/>
      <c r="J125" s="56"/>
      <c r="K125" s="55"/>
      <c r="L125" s="55"/>
      <c r="M125" s="55"/>
      <c r="N125" s="30"/>
      <c r="O125" s="31" t="str">
        <f t="shared" si="18"/>
        <v xml:space="preserve">   </v>
      </c>
      <c r="P125" s="80"/>
    </row>
    <row r="126" spans="2:16" hidden="1" x14ac:dyDescent="0.3">
      <c r="B126" s="33" t="s">
        <v>243</v>
      </c>
      <c r="C126" s="34" t="s">
        <v>244</v>
      </c>
      <c r="D126" s="78"/>
      <c r="E126" s="54"/>
      <c r="F126" s="55"/>
      <c r="G126" s="55"/>
      <c r="H126" s="55"/>
      <c r="I126" s="55"/>
      <c r="J126" s="56"/>
      <c r="K126" s="55"/>
      <c r="L126" s="55"/>
      <c r="M126" s="55"/>
      <c r="N126" s="30"/>
      <c r="O126" s="31" t="str">
        <f t="shared" si="18"/>
        <v xml:space="preserve">   </v>
      </c>
      <c r="P126" s="80"/>
    </row>
    <row r="127" spans="2:16" hidden="1" x14ac:dyDescent="0.3">
      <c r="B127" s="33" t="s">
        <v>245</v>
      </c>
      <c r="C127" s="34" t="s">
        <v>246</v>
      </c>
      <c r="D127" s="78"/>
      <c r="E127" s="54"/>
      <c r="F127" s="55"/>
      <c r="G127" s="55"/>
      <c r="H127" s="55"/>
      <c r="I127" s="55"/>
      <c r="J127" s="56"/>
      <c r="K127" s="55"/>
      <c r="L127" s="55"/>
      <c r="M127" s="55"/>
      <c r="N127" s="30"/>
      <c r="O127" s="31" t="str">
        <f t="shared" si="18"/>
        <v xml:space="preserve">   </v>
      </c>
      <c r="P127" s="80"/>
    </row>
    <row r="128" spans="2:16" ht="28.8" hidden="1" x14ac:dyDescent="0.3">
      <c r="B128" s="33" t="s">
        <v>247</v>
      </c>
      <c r="C128" s="34" t="s">
        <v>248</v>
      </c>
      <c r="D128" s="78"/>
      <c r="E128" s="54"/>
      <c r="F128" s="55"/>
      <c r="G128" s="55"/>
      <c r="H128" s="55"/>
      <c r="I128" s="55"/>
      <c r="J128" s="56"/>
      <c r="K128" s="55"/>
      <c r="L128" s="55"/>
      <c r="M128" s="55"/>
      <c r="N128" s="30"/>
      <c r="O128" s="31" t="str">
        <f t="shared" si="18"/>
        <v xml:space="preserve">   </v>
      </c>
      <c r="P128" s="80"/>
    </row>
    <row r="129" spans="2:16" ht="28.8" hidden="1" x14ac:dyDescent="0.3">
      <c r="B129" s="33" t="s">
        <v>249</v>
      </c>
      <c r="C129" s="34" t="s">
        <v>250</v>
      </c>
      <c r="D129" s="78"/>
      <c r="E129" s="54"/>
      <c r="F129" s="55"/>
      <c r="G129" s="55"/>
      <c r="H129" s="55"/>
      <c r="I129" s="55"/>
      <c r="J129" s="56"/>
      <c r="K129" s="55"/>
      <c r="L129" s="55"/>
      <c r="M129" s="55"/>
      <c r="N129" s="30"/>
      <c r="O129" s="31" t="str">
        <f t="shared" si="18"/>
        <v xml:space="preserve">   </v>
      </c>
      <c r="P129" s="80"/>
    </row>
    <row r="130" spans="2:16" ht="43.2" hidden="1" x14ac:dyDescent="0.3">
      <c r="B130" s="33" t="s">
        <v>251</v>
      </c>
      <c r="C130" s="34" t="s">
        <v>252</v>
      </c>
      <c r="D130" s="78"/>
      <c r="E130" s="54"/>
      <c r="F130" s="55"/>
      <c r="G130" s="55"/>
      <c r="H130" s="55"/>
      <c r="I130" s="55"/>
      <c r="J130" s="56"/>
      <c r="K130" s="55"/>
      <c r="L130" s="55"/>
      <c r="M130" s="55"/>
      <c r="N130" s="30"/>
      <c r="O130" s="31" t="str">
        <f>IF(((D130=0)),"   ","Нужно заполнить пункт 17 текстовой части (отмена либо приостановление действия ранее произведенных изменений...)")</f>
        <v xml:space="preserve">   </v>
      </c>
      <c r="P130" s="80"/>
    </row>
    <row r="131" spans="2:16" hidden="1" x14ac:dyDescent="0.3">
      <c r="B131" s="33" t="s">
        <v>253</v>
      </c>
      <c r="C131" s="34" t="s">
        <v>254</v>
      </c>
      <c r="D131" s="78"/>
      <c r="E131" s="57"/>
      <c r="F131" s="48"/>
      <c r="G131" s="48"/>
      <c r="H131" s="48"/>
      <c r="I131" s="48"/>
      <c r="J131" s="58"/>
      <c r="K131" s="48"/>
      <c r="L131" s="48"/>
      <c r="M131" s="48"/>
      <c r="N131" s="31" t="str">
        <f>IF((D131&lt;=D130),"Выполнено","ПРОВЕРИТЬ (эта подстрока не может быть больше основной строки)")</f>
        <v>Выполнено</v>
      </c>
      <c r="O131" s="31" t="str">
        <f>IF(((D131=0)),"   ","Нужно заполнить пункт 17 текстовой части (отмена либо приостановление действия ранее произведенных изменений...)")</f>
        <v xml:space="preserve">   </v>
      </c>
      <c r="P131" s="80"/>
    </row>
    <row r="132" spans="2:16" ht="28.8" hidden="1" x14ac:dyDescent="0.3">
      <c r="B132" s="33" t="s">
        <v>255</v>
      </c>
      <c r="C132" s="34" t="s">
        <v>256</v>
      </c>
      <c r="D132" s="78"/>
      <c r="E132" s="54"/>
      <c r="F132" s="55"/>
      <c r="G132" s="55"/>
      <c r="H132" s="55"/>
      <c r="I132" s="55"/>
      <c r="J132" s="56"/>
      <c r="K132" s="55"/>
      <c r="L132" s="55"/>
      <c r="M132" s="55"/>
      <c r="N132" s="30"/>
      <c r="O132" s="31" t="str">
        <f>IF(((D132=0)),"   ","Нужно заполнить пункт 17 текстовой части (отмена либо приостановление действия ранее произведенных изменений...)")</f>
        <v xml:space="preserve">   </v>
      </c>
      <c r="P132" s="80"/>
    </row>
    <row r="133" spans="2:16" ht="72" hidden="1" x14ac:dyDescent="0.3">
      <c r="B133" s="47" t="s">
        <v>257</v>
      </c>
      <c r="C133" s="22" t="s">
        <v>258</v>
      </c>
      <c r="D133" s="23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5"/>
      <c r="P133" s="80"/>
    </row>
    <row r="134" spans="2:16" ht="28.8" hidden="1" x14ac:dyDescent="0.3">
      <c r="B134" s="33" t="s">
        <v>259</v>
      </c>
      <c r="C134" s="34" t="s">
        <v>260</v>
      </c>
      <c r="D134" s="28">
        <f t="shared" ref="D134:D145" si="21">SUM(E134:I134)+SUM(K134:M134)</f>
        <v>0</v>
      </c>
      <c r="E134" s="49"/>
      <c r="F134" s="49"/>
      <c r="G134" s="49"/>
      <c r="H134" s="49"/>
      <c r="I134" s="49"/>
      <c r="J134" s="29"/>
      <c r="K134" s="49"/>
      <c r="L134" s="49"/>
      <c r="M134" s="49"/>
      <c r="N134" s="31" t="str">
        <f>IF(NOT((D$103=0)*AND(D134&gt;0)),"Выполнено","ПРОВЕРИТЬ (наличие таких муниципальных образований указывает на проведенные территориальные преобразования")</f>
        <v>Выполнено</v>
      </c>
      <c r="O134" s="31" t="str">
        <f>IF(((D134=0)),"   ","Нужно заполнить пункт 16 текстовой части (изменения территориальной организации местного самоуправления...)")</f>
        <v xml:space="preserve">   </v>
      </c>
      <c r="P134" s="80"/>
    </row>
    <row r="135" spans="2:16" ht="28.8" hidden="1" x14ac:dyDescent="0.3">
      <c r="B135" s="33" t="s">
        <v>261</v>
      </c>
      <c r="C135" s="34" t="s">
        <v>262</v>
      </c>
      <c r="D135" s="28">
        <f t="shared" si="21"/>
        <v>0</v>
      </c>
      <c r="E135" s="49"/>
      <c r="F135" s="49"/>
      <c r="G135" s="49"/>
      <c r="H135" s="49"/>
      <c r="I135" s="49"/>
      <c r="J135" s="29"/>
      <c r="K135" s="49"/>
      <c r="L135" s="49"/>
      <c r="M135" s="49"/>
      <c r="N135" s="31" t="str">
        <f>IF(NOT((D$103=0)*AND(D135&gt;0)),"Выполнено","ПРОВЕРИТЬ (наличие таких муниципальных образований указывает на проведенные территориальные преобразования")</f>
        <v>Выполнено</v>
      </c>
      <c r="O135" s="31" t="str">
        <f>IF(((D135=0)),"   ","Нужно заполнить пункт 16 текстовой части (изменения территориальной организации местного самоуправления...)")</f>
        <v xml:space="preserve">   </v>
      </c>
      <c r="P135" s="52"/>
    </row>
    <row r="136" spans="2:16" ht="28.8" hidden="1" x14ac:dyDescent="0.3">
      <c r="B136" s="33" t="s">
        <v>263</v>
      </c>
      <c r="C136" s="34" t="s">
        <v>264</v>
      </c>
      <c r="D136" s="28">
        <f t="shared" si="21"/>
        <v>0</v>
      </c>
      <c r="E136" s="49"/>
      <c r="F136" s="49"/>
      <c r="G136" s="49"/>
      <c r="H136" s="49"/>
      <c r="I136" s="49"/>
      <c r="J136" s="29"/>
      <c r="K136" s="49"/>
      <c r="L136" s="49"/>
      <c r="M136" s="49"/>
      <c r="N136" s="31" t="str">
        <f>IF(NOT((D$103=0)*AND(D136&gt;0)),"Выполнено","ПРОВЕРИТЬ (наличие таких муниципальных образований указывает на проведенные территориальные преобразования")</f>
        <v>Выполнено</v>
      </c>
      <c r="O136" s="31" t="str">
        <f>IF(((D136=0)),"   ","Нужно заполнить пункт 16 текстовой части (изменения территориальной организации местного самоуправления...)")</f>
        <v xml:space="preserve">   </v>
      </c>
      <c r="P136" s="52"/>
    </row>
    <row r="137" spans="2:16" ht="43.2" hidden="1" x14ac:dyDescent="0.3">
      <c r="B137" s="33" t="s">
        <v>265</v>
      </c>
      <c r="C137" s="34" t="s">
        <v>266</v>
      </c>
      <c r="D137" s="28">
        <f t="shared" si="21"/>
        <v>0</v>
      </c>
      <c r="E137" s="49"/>
      <c r="F137" s="49"/>
      <c r="G137" s="49"/>
      <c r="H137" s="49"/>
      <c r="I137" s="49"/>
      <c r="J137" s="29"/>
      <c r="K137" s="49"/>
      <c r="L137" s="49"/>
      <c r="M137" s="49"/>
      <c r="N137" s="31" t="str">
        <f>IF(NOT((D$103=0)*AND(D137&gt;0)),"Выполнено","ПРОВЕРИТЬ (наличие таких муниципальных образований указывает на проведенные территориальные преобразования")</f>
        <v>Выполнено</v>
      </c>
      <c r="O137" s="31" t="str">
        <f>IF(((D137=0)),"   ","Нужно заполнить пункт 16 текстовой части (изменения территориальной организации местного самоуправления...)")</f>
        <v xml:space="preserve">   </v>
      </c>
      <c r="P137" s="80"/>
    </row>
    <row r="138" spans="2:16" ht="28.8" hidden="1" x14ac:dyDescent="0.3">
      <c r="B138" s="47" t="s">
        <v>267</v>
      </c>
      <c r="C138" s="22" t="s">
        <v>268</v>
      </c>
      <c r="D138" s="23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5"/>
      <c r="P138" s="80"/>
    </row>
    <row r="139" spans="2:16" ht="43.2" hidden="1" x14ac:dyDescent="0.3">
      <c r="B139" s="21" t="s">
        <v>269</v>
      </c>
      <c r="C139" s="1" t="s">
        <v>270</v>
      </c>
      <c r="D139" s="28">
        <f t="shared" si="21"/>
        <v>19</v>
      </c>
      <c r="E139" s="28">
        <f t="shared" ref="E139:M139" si="22">E$10-E140</f>
        <v>1</v>
      </c>
      <c r="F139" s="28">
        <f t="shared" si="22"/>
        <v>4</v>
      </c>
      <c r="G139" s="28">
        <f t="shared" si="22"/>
        <v>14</v>
      </c>
      <c r="H139" s="28">
        <f t="shared" si="22"/>
        <v>0</v>
      </c>
      <c r="I139" s="28">
        <f t="shared" si="22"/>
        <v>0</v>
      </c>
      <c r="J139" s="28">
        <f>J$10-J140</f>
        <v>0</v>
      </c>
      <c r="K139" s="28">
        <f t="shared" si="22"/>
        <v>0</v>
      </c>
      <c r="L139" s="28">
        <f t="shared" si="22"/>
        <v>0</v>
      </c>
      <c r="M139" s="28">
        <f t="shared" si="22"/>
        <v>0</v>
      </c>
      <c r="N139" s="30"/>
      <c r="O139" s="30"/>
      <c r="P139" s="80"/>
    </row>
    <row r="140" spans="2:16" ht="43.2" hidden="1" x14ac:dyDescent="0.3">
      <c r="B140" s="33" t="s">
        <v>271</v>
      </c>
      <c r="C140" s="34" t="s">
        <v>272</v>
      </c>
      <c r="D140" s="28">
        <f t="shared" si="21"/>
        <v>0</v>
      </c>
      <c r="E140" s="49"/>
      <c r="F140" s="49"/>
      <c r="G140" s="49"/>
      <c r="H140" s="49"/>
      <c r="I140" s="49"/>
      <c r="J140" s="29"/>
      <c r="K140" s="49"/>
      <c r="L140" s="49"/>
      <c r="M140" s="49"/>
      <c r="N140" s="31" t="str">
        <f>IF((D140&lt;=D$10)*AND(E140&lt;=E$10)*AND(F140&lt;=F$10)*AND(G140&lt;=G$10)*AND(H140&lt;=H$10)*AND(I140&lt;=I$10)*AND(K140&lt;=K$10)*AND(L140&lt;=L$10)*AND(M140&lt;=M$10)*AND(J140&lt;=J$10),"Выполнено","ПРОВЕРИТЬ (таких муниципальных образований не может быть больше их общего числа)")</f>
        <v>Выполнено</v>
      </c>
      <c r="O140" s="31" t="str">
        <f>IF(((D140=0)),"   ","Нужно заполнить пункт 18 текстовой части (муниципальные образования, не имеющие действующих уставов...)")</f>
        <v xml:space="preserve">   </v>
      </c>
      <c r="P140" s="80"/>
    </row>
    <row r="141" spans="2:16" ht="28.8" hidden="1" x14ac:dyDescent="0.3">
      <c r="B141" s="82" t="s">
        <v>273</v>
      </c>
      <c r="C141" s="1" t="s">
        <v>274</v>
      </c>
      <c r="D141" s="23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5"/>
      <c r="P141" s="81"/>
    </row>
    <row r="142" spans="2:16" hidden="1" x14ac:dyDescent="0.3">
      <c r="B142" s="82" t="s">
        <v>275</v>
      </c>
      <c r="C142" s="1" t="s">
        <v>276</v>
      </c>
      <c r="D142" s="28">
        <f>SUM(F142:I142)+K142+M142</f>
        <v>18</v>
      </c>
      <c r="E142" s="64"/>
      <c r="F142" s="53">
        <v>4</v>
      </c>
      <c r="G142" s="53">
        <v>14</v>
      </c>
      <c r="H142" s="53"/>
      <c r="I142" s="53"/>
      <c r="J142" s="53"/>
      <c r="K142" s="53"/>
      <c r="L142" s="64"/>
      <c r="M142" s="53"/>
      <c r="N142" s="31" t="str">
        <f>IF((D142&lt;=D$10)*AND(E142=0)*AND(F142&lt;=F$10)*AND(G142&lt;=G$10)*AND(H142&lt;=H$10)*AND(I142&lt;=I$10)*AND(K142&lt;=K$10)*AND(L142=0)*AND(M142&lt;=M$10)*AND(J142&lt;=J$10),"Выполнено","ПРОВЕРИТЬ (муниципальных образований с генпланами не может быть больше их общего числа; в муниципальных и внутригородских районах генпланы вообще не принимаются)")</f>
        <v>Выполнено</v>
      </c>
      <c r="O142" s="30"/>
      <c r="P142" s="80"/>
    </row>
    <row r="143" spans="2:16" hidden="1" x14ac:dyDescent="0.3">
      <c r="B143" s="82" t="s">
        <v>277</v>
      </c>
      <c r="C143" s="1" t="s">
        <v>278</v>
      </c>
      <c r="D143" s="28">
        <f>E143+H143+I143+M143</f>
        <v>1</v>
      </c>
      <c r="E143" s="53">
        <v>1</v>
      </c>
      <c r="F143" s="64"/>
      <c r="G143" s="64"/>
      <c r="H143" s="53"/>
      <c r="I143" s="53"/>
      <c r="J143" s="53"/>
      <c r="K143" s="64"/>
      <c r="L143" s="64"/>
      <c r="M143" s="53"/>
      <c r="N143" s="31" t="str">
        <f>IF((D143&lt;=D$10)*AND(E143&lt;=E$10)*AND(F143=0)*AND(G143=0)*AND(H143&lt;=H$10)*AND(I143&lt;=I$10)*AND(K143=0)*AND(L143=0)*AND(M143&lt;=M$10)*AND(J143&lt;=J$10),"Выполнено","ПРОВЕРИТЬ (муниципальных образований со схемами терпланирования не может быть больше их числа, в поселениях они не принимаются вообще, в муниципальных и городских округах могут быть крайне редко как следствие преобразований)")</f>
        <v>Выполнено</v>
      </c>
      <c r="O143" s="31" t="str">
        <f>IF(((H143+I143=0)),"   ","Подсказка - у городских и муниципальных округов обычно не бывает СТП, исключение - если она принималась ранее районом и осталась при преобразовании)")</f>
        <v xml:space="preserve">   </v>
      </c>
      <c r="P143" s="80"/>
    </row>
    <row r="144" spans="2:16" hidden="1" x14ac:dyDescent="0.3">
      <c r="B144" s="82" t="s">
        <v>279</v>
      </c>
      <c r="C144" s="1" t="s">
        <v>280</v>
      </c>
      <c r="D144" s="28">
        <f t="shared" si="21"/>
        <v>18</v>
      </c>
      <c r="E144" s="53"/>
      <c r="F144" s="53">
        <v>4</v>
      </c>
      <c r="G144" s="53">
        <v>14</v>
      </c>
      <c r="H144" s="53"/>
      <c r="I144" s="53"/>
      <c r="J144" s="29"/>
      <c r="K144" s="53"/>
      <c r="L144" s="29"/>
      <c r="M144" s="29"/>
      <c r="N144" s="31" t="str">
        <f>IF((D144&lt;=D$10)*AND(E144&lt;=E$10)*AND(F144&lt;=F$10)*AND(G144&lt;=G$10)*AND(H144&lt;=H$10)*AND(I144&lt;=I$10)*AND(K144&lt;=K$10)*AND(L144&lt;=L$10)*AND(M144&lt;=M$10)*AND(J144&lt;=J$10),"Выполнено","ПРОВЕРИТЬ (таких муниципальных образований не может быть больше их общего числа)")</f>
        <v>Выполнено</v>
      </c>
      <c r="O144" s="31" t="str">
        <f>IF(((E144+L144=0)),"   ","Подсказка - правила землепользования и застройки обычно (за редкими исключениями) не принимаются в муниципальных и внутригородских районах, возможна ошибка)")</f>
        <v xml:space="preserve">   </v>
      </c>
      <c r="P144" s="80"/>
    </row>
    <row r="145" spans="2:16" hidden="1" x14ac:dyDescent="0.3">
      <c r="B145" s="82" t="s">
        <v>281</v>
      </c>
      <c r="C145" s="1" t="s">
        <v>282</v>
      </c>
      <c r="D145" s="28">
        <f t="shared" si="21"/>
        <v>8</v>
      </c>
      <c r="E145" s="53"/>
      <c r="F145" s="53">
        <v>4</v>
      </c>
      <c r="G145" s="53">
        <v>4</v>
      </c>
      <c r="H145" s="53"/>
      <c r="I145" s="53"/>
      <c r="J145" s="29"/>
      <c r="K145" s="53"/>
      <c r="L145" s="29"/>
      <c r="M145" s="29"/>
      <c r="N145" s="31" t="str">
        <f>IF((D145&lt;=D$10)*AND(E145&lt;=E$10)*AND(F145&lt;=F$10)*AND(G145&lt;=G$10)*AND(H145&lt;=H$10)*AND(I145&lt;=I$10)*AND(K145&lt;=K$10)*AND(L145&lt;=L$10)*AND(M145&lt;=M$10)*AND(J145&lt;=J$10),"Выполнено","ПРОВЕРИТЬ (таких муниципальных образований не может быть больше их общего числа)")</f>
        <v>Выполнено</v>
      </c>
      <c r="O145" s="31" t="str">
        <f>IF(((E145=0)),"   ","Подсказка - правила благоустройства обычно (за редкими исключениями) не принимаются в муниципальных районах, возможна ошибка)")</f>
        <v xml:space="preserve">   </v>
      </c>
      <c r="P145" s="80"/>
    </row>
    <row r="146" spans="2:16" ht="57.6" hidden="1" x14ac:dyDescent="0.3">
      <c r="B146" s="82" t="s">
        <v>283</v>
      </c>
      <c r="C146" s="1" t="s">
        <v>284</v>
      </c>
      <c r="D146" s="28">
        <f>G146</f>
        <v>0</v>
      </c>
      <c r="E146" s="24"/>
      <c r="F146" s="24"/>
      <c r="G146" s="53"/>
      <c r="H146" s="24"/>
      <c r="I146" s="24"/>
      <c r="J146" s="25"/>
      <c r="K146" s="24"/>
      <c r="L146" s="24"/>
      <c r="M146" s="24"/>
      <c r="N146" s="31" t="str">
        <f>IF((G146&lt;=G$10),"Выполнено","ПРОВЕРИТЬ (таких сельских поселений не может быть больше их общего числа)")</f>
        <v>Выполнено</v>
      </c>
      <c r="O146" s="30"/>
      <c r="P146" s="80"/>
    </row>
    <row r="147" spans="2:16" ht="43.2" hidden="1" x14ac:dyDescent="0.3">
      <c r="B147" s="82" t="s">
        <v>285</v>
      </c>
      <c r="C147" s="1" t="s">
        <v>286</v>
      </c>
      <c r="D147" s="28">
        <f t="shared" ref="D147:D212" si="23">SUM(E147:I147)+SUM(K147:M147)</f>
        <v>0</v>
      </c>
      <c r="E147" s="53"/>
      <c r="F147" s="53"/>
      <c r="G147" s="53"/>
      <c r="H147" s="53"/>
      <c r="I147" s="53"/>
      <c r="J147" s="29"/>
      <c r="K147" s="53"/>
      <c r="L147" s="29"/>
      <c r="M147" s="29"/>
      <c r="N147" s="30"/>
      <c r="O147" s="30"/>
      <c r="P147" s="80"/>
    </row>
    <row r="148" spans="2:16" ht="72" hidden="1" x14ac:dyDescent="0.3">
      <c r="B148" s="33" t="s">
        <v>287</v>
      </c>
      <c r="C148" s="34" t="s">
        <v>288</v>
      </c>
      <c r="D148" s="28">
        <f t="shared" si="23"/>
        <v>1</v>
      </c>
      <c r="E148" s="49">
        <v>1</v>
      </c>
      <c r="F148" s="29"/>
      <c r="G148" s="29"/>
      <c r="H148" s="49"/>
      <c r="I148" s="49"/>
      <c r="J148" s="49"/>
      <c r="K148" s="49"/>
      <c r="L148" s="29"/>
      <c r="M148" s="29"/>
      <c r="N148" s="30"/>
      <c r="O148" s="31" t="str">
        <f>IF(((D148=0)),"   ","Нужно заполнить пункт 19 текстовой части (муниципалитеты, в которых осуществлялась оценка регулирующего воздействия МПА)")</f>
        <v>Нужно заполнить пункт 19 текстовой части (муниципалитеты, в которых осуществлялась оценка регулирующего воздействия МПА)</v>
      </c>
      <c r="P148" s="80"/>
    </row>
    <row r="149" spans="2:16" ht="57.6" hidden="1" x14ac:dyDescent="0.3">
      <c r="B149" s="33" t="s">
        <v>289</v>
      </c>
      <c r="C149" s="34" t="s">
        <v>290</v>
      </c>
      <c r="D149" s="28">
        <f t="shared" si="23"/>
        <v>1</v>
      </c>
      <c r="E149" s="53">
        <v>1</v>
      </c>
      <c r="F149" s="53"/>
      <c r="G149" s="53"/>
      <c r="H149" s="53"/>
      <c r="I149" s="53"/>
      <c r="J149" s="49"/>
      <c r="K149" s="49"/>
      <c r="L149" s="29"/>
      <c r="M149" s="29"/>
      <c r="N149" s="30"/>
      <c r="O149" s="31" t="str">
        <f>IF(((D149=0)),"   ","Нужно заполнить пункт 19 текстовой части (муниципалитеты, в которых осуществлялась оценка регулирующего воздействия МПА)")</f>
        <v>Нужно заполнить пункт 19 текстовой части (муниципалитеты, в которых осуществлялась оценка регулирующего воздействия МПА)</v>
      </c>
      <c r="P149" s="80"/>
    </row>
    <row r="150" spans="2:16" hidden="1" x14ac:dyDescent="0.3">
      <c r="B150" s="47" t="s">
        <v>291</v>
      </c>
      <c r="C150" s="22" t="s">
        <v>292</v>
      </c>
      <c r="D150" s="23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5"/>
      <c r="P150" s="80"/>
    </row>
    <row r="151" spans="2:16" ht="28.8" hidden="1" x14ac:dyDescent="0.3">
      <c r="B151" s="21" t="s">
        <v>293</v>
      </c>
      <c r="C151" s="1" t="s">
        <v>294</v>
      </c>
      <c r="D151" s="28">
        <f t="shared" si="23"/>
        <v>19</v>
      </c>
      <c r="E151" s="29">
        <v>1</v>
      </c>
      <c r="F151" s="29">
        <v>4</v>
      </c>
      <c r="G151" s="29">
        <v>14</v>
      </c>
      <c r="H151" s="29"/>
      <c r="I151" s="29"/>
      <c r="J151" s="29"/>
      <c r="K151" s="29"/>
      <c r="L151" s="29"/>
      <c r="M151" s="29"/>
      <c r="N151" s="43"/>
      <c r="O151" s="31" t="str">
        <f>IF(((D151=D11)*AND(E151=E11)*AND(F151=F11)*AND(G151=G11)*AND(H151=H11)*AND(I151=I11)*AND(K151=K11)*AND(L151=L11)*AND(M151=M11)*AND(J151=J11)),"   ","Подсказка - эти числа чаще всего совпадают с количеством муниципалитетов по видам на начало года, но могут и отличаться от них ввиду недавних изменений территориальной организации МСУ")</f>
        <v xml:space="preserve">   </v>
      </c>
      <c r="P151" s="80"/>
    </row>
    <row r="152" spans="2:16" ht="28.8" hidden="1" x14ac:dyDescent="0.3">
      <c r="B152" s="33" t="s">
        <v>295</v>
      </c>
      <c r="C152" s="34" t="s">
        <v>296</v>
      </c>
      <c r="D152" s="28">
        <f t="shared" si="23"/>
        <v>19</v>
      </c>
      <c r="E152" s="49">
        <v>1</v>
      </c>
      <c r="F152" s="49">
        <v>4</v>
      </c>
      <c r="G152" s="49">
        <v>14</v>
      </c>
      <c r="H152" s="49"/>
      <c r="I152" s="49"/>
      <c r="J152" s="49"/>
      <c r="K152" s="49"/>
      <c r="L152" s="49"/>
      <c r="M152" s="49"/>
      <c r="N152" s="31" t="str">
        <f>IF((D152&lt;=D151)*AND(E152&lt;=E151)*AND(F152&lt;=F151)*AND(G152&lt;=G151)*AND(H152&lt;=H151)*AND(I152&lt;=I151)*AND(K152&lt;=K151)*AND(L152&lt;=L151)*AND(M152&lt;=M151)*AND(J152&lt;=J151),"Выполнено","ПРОВЕРИТЬ (бюджеты принимаются в муниципальных образованиях, являющимися участниками бюджетного процесса в соответствующем году)
)")</f>
        <v>Выполнено</v>
      </c>
      <c r="O152" s="31" t="str">
        <f>IF(((D152=D151)*AND(E152=E151)*AND(F152=F151)*AND(G152=G151)*AND(H152=H151)*AND(I152=I151)*AND(K152=K151)*AND(L152=L151)*AND(M152=M151)*AND(J152=J151)),"   ","Нужно заполнить пункт 20 текстовой части - муниципалитеты, не имеющие принятых бюджетов на очередной финансовый год.")</f>
        <v xml:space="preserve">   </v>
      </c>
      <c r="P152" s="80"/>
    </row>
    <row r="153" spans="2:16" ht="28.8" hidden="1" x14ac:dyDescent="0.3">
      <c r="B153" s="21" t="s">
        <v>297</v>
      </c>
      <c r="C153" s="1" t="s">
        <v>298</v>
      </c>
      <c r="D153" s="28">
        <f t="shared" si="23"/>
        <v>19</v>
      </c>
      <c r="E153" s="50">
        <f t="shared" ref="E153:M153" si="24">SUM(E154:E159)</f>
        <v>1</v>
      </c>
      <c r="F153" s="50">
        <f t="shared" si="24"/>
        <v>4</v>
      </c>
      <c r="G153" s="50">
        <f t="shared" si="24"/>
        <v>14</v>
      </c>
      <c r="H153" s="50">
        <f t="shared" si="24"/>
        <v>0</v>
      </c>
      <c r="I153" s="50">
        <f t="shared" si="24"/>
        <v>0</v>
      </c>
      <c r="J153" s="50">
        <f t="shared" si="24"/>
        <v>0</v>
      </c>
      <c r="K153" s="50">
        <f t="shared" si="24"/>
        <v>0</v>
      </c>
      <c r="L153" s="50">
        <f t="shared" si="24"/>
        <v>0</v>
      </c>
      <c r="M153" s="50">
        <f t="shared" si="24"/>
        <v>0</v>
      </c>
      <c r="N153" s="31" t="str">
        <f>IF((D153=D152)*AND(E153=E152)*AND(F153=F152)*AND(G153=G152)*AND(H153=H152)*AND(I153=I152)*AND(K153=K152)*AND(L153=L152)*AND(M153=M152)*AND(J153=J152),"Выполнено","ПРОВЕРИТЬ (этот показатель считается по принятым местным бюджетам)")</f>
        <v>Выполнено</v>
      </c>
      <c r="O153" s="83"/>
      <c r="P153" s="80"/>
    </row>
    <row r="154" spans="2:16" hidden="1" x14ac:dyDescent="0.3">
      <c r="B154" s="33" t="s">
        <v>299</v>
      </c>
      <c r="C154" s="34" t="s">
        <v>300</v>
      </c>
      <c r="D154" s="28">
        <f t="shared" si="23"/>
        <v>0</v>
      </c>
      <c r="E154" s="49"/>
      <c r="F154" s="49"/>
      <c r="G154" s="49"/>
      <c r="H154" s="49"/>
      <c r="I154" s="49"/>
      <c r="J154" s="49"/>
      <c r="K154" s="49"/>
      <c r="L154" s="49"/>
      <c r="M154" s="49"/>
      <c r="N154" s="83"/>
      <c r="O154" s="31" t="str">
        <f>IF(((D154=0)),"   ","Нужно заполнить пункт 21 текстовой части - муниципалитеты с доходами бюджетов менее 1 млн руб.")</f>
        <v xml:space="preserve">   </v>
      </c>
      <c r="P154" s="80"/>
    </row>
    <row r="155" spans="2:16" hidden="1" x14ac:dyDescent="0.3">
      <c r="B155" s="33" t="s">
        <v>301</v>
      </c>
      <c r="C155" s="34" t="s">
        <v>302</v>
      </c>
      <c r="D155" s="28">
        <f t="shared" si="23"/>
        <v>12</v>
      </c>
      <c r="E155" s="84"/>
      <c r="F155" s="84">
        <v>1</v>
      </c>
      <c r="G155" s="85">
        <v>11</v>
      </c>
      <c r="H155" s="84"/>
      <c r="I155" s="84"/>
      <c r="J155" s="49"/>
      <c r="K155" s="49"/>
      <c r="L155" s="29"/>
      <c r="M155" s="29"/>
      <c r="N155" s="83"/>
      <c r="O155" s="31" t="str">
        <f>IF(((E155+F155+H155+I155+K155=0)),"   ","Нужно заполнить пункт 21 текстовой части - поселения с нехарактерно малыми бюджетами")</f>
        <v>Нужно заполнить пункт 21 текстовой части - поселения с нехарактерно малыми бюджетами</v>
      </c>
      <c r="P155" s="80"/>
    </row>
    <row r="156" spans="2:16" hidden="1" x14ac:dyDescent="0.3">
      <c r="B156" s="21" t="s">
        <v>303</v>
      </c>
      <c r="C156" s="1" t="s">
        <v>304</v>
      </c>
      <c r="D156" s="28">
        <f t="shared" si="23"/>
        <v>5</v>
      </c>
      <c r="E156" s="86"/>
      <c r="F156" s="86">
        <v>2</v>
      </c>
      <c r="G156" s="86">
        <v>3</v>
      </c>
      <c r="H156" s="86"/>
      <c r="I156" s="86"/>
      <c r="J156" s="29"/>
      <c r="K156" s="29"/>
      <c r="L156" s="29"/>
      <c r="M156" s="29"/>
      <c r="N156" s="83"/>
      <c r="O156" s="83"/>
      <c r="P156" s="80"/>
    </row>
    <row r="157" spans="2:16" hidden="1" x14ac:dyDescent="0.3">
      <c r="B157" s="33" t="s">
        <v>305</v>
      </c>
      <c r="C157" s="34" t="s">
        <v>306</v>
      </c>
      <c r="D157" s="28">
        <f t="shared" si="23"/>
        <v>2</v>
      </c>
      <c r="E157" s="85">
        <v>1</v>
      </c>
      <c r="F157" s="85">
        <v>1</v>
      </c>
      <c r="G157" s="84"/>
      <c r="H157" s="85"/>
      <c r="I157" s="85"/>
      <c r="J157" s="53"/>
      <c r="K157" s="53"/>
      <c r="L157" s="53"/>
      <c r="M157" s="53"/>
      <c r="N157" s="83"/>
      <c r="O157" s="31" t="str">
        <f>IF(((G157=0)),"   ","Нужно заполнить пункт 21 текстовой части - сельские поселения с нехарактерно большими бюджетами")</f>
        <v xml:space="preserve">   </v>
      </c>
      <c r="P157" s="80"/>
    </row>
    <row r="158" spans="2:16" hidden="1" x14ac:dyDescent="0.3">
      <c r="B158" s="33" t="s">
        <v>307</v>
      </c>
      <c r="C158" s="34" t="s">
        <v>308</v>
      </c>
      <c r="D158" s="28">
        <f t="shared" si="23"/>
        <v>0</v>
      </c>
      <c r="E158" s="84"/>
      <c r="F158" s="84"/>
      <c r="G158" s="84"/>
      <c r="H158" s="84"/>
      <c r="I158" s="84"/>
      <c r="J158" s="49"/>
      <c r="K158" s="49"/>
      <c r="L158" s="49"/>
      <c r="M158" s="49"/>
      <c r="N158" s="83"/>
      <c r="O158" s="31" t="str">
        <f>IF(((D158=0)),"   ","Нужно заполнить пункт 21 текстовой части - муниципалитеты с доходами бюджетов более 1 млрд руб")</f>
        <v xml:space="preserve">   </v>
      </c>
      <c r="P158" s="80"/>
    </row>
    <row r="159" spans="2:16" hidden="1" x14ac:dyDescent="0.3">
      <c r="B159" s="33" t="s">
        <v>309</v>
      </c>
      <c r="C159" s="34" t="s">
        <v>310</v>
      </c>
      <c r="D159" s="28">
        <f t="shared" si="23"/>
        <v>0</v>
      </c>
      <c r="E159" s="84"/>
      <c r="F159" s="84"/>
      <c r="G159" s="84"/>
      <c r="H159" s="84"/>
      <c r="I159" s="84"/>
      <c r="J159" s="49"/>
      <c r="K159" s="49"/>
      <c r="L159" s="49"/>
      <c r="M159" s="49"/>
      <c r="N159" s="83"/>
      <c r="O159" s="31" t="str">
        <f>IF(((D159=0)),"   ","Нужно заполнить пункт 21 текстовой части")</f>
        <v xml:space="preserve">   </v>
      </c>
      <c r="P159" s="80"/>
    </row>
    <row r="160" spans="2:16" ht="57.6" hidden="1" x14ac:dyDescent="0.3">
      <c r="B160" s="87" t="s">
        <v>311</v>
      </c>
      <c r="C160" s="88" t="s">
        <v>312</v>
      </c>
      <c r="D160" s="28">
        <f t="shared" si="23"/>
        <v>19</v>
      </c>
      <c r="E160" s="50">
        <f>SUM(E161:E163)</f>
        <v>1</v>
      </c>
      <c r="F160" s="50">
        <f t="shared" ref="F160:M160" si="25">SUM(F161:F163)</f>
        <v>4</v>
      </c>
      <c r="G160" s="50">
        <f t="shared" si="25"/>
        <v>14</v>
      </c>
      <c r="H160" s="50">
        <f t="shared" si="25"/>
        <v>0</v>
      </c>
      <c r="I160" s="50">
        <f t="shared" si="25"/>
        <v>0</v>
      </c>
      <c r="J160" s="50">
        <f t="shared" si="25"/>
        <v>0</v>
      </c>
      <c r="K160" s="50">
        <f t="shared" si="25"/>
        <v>0</v>
      </c>
      <c r="L160" s="50">
        <f t="shared" si="25"/>
        <v>0</v>
      </c>
      <c r="M160" s="50">
        <f t="shared" si="25"/>
        <v>0</v>
      </c>
      <c r="N160" s="31" t="str">
        <f>IF((D160&lt;=D$151)*AND(E160&lt;=E$151)*AND(F160&lt;=F$151)*AND(G160&lt;=G$151)*AND(H160&lt;=H$151)*AND(I160&lt;=I$151)*AND(K160&lt;=K$151)*AND(L160&lt;=L$151)*AND(M160&lt;=M$151)*AND(J160&lt;=J$151),"Выполнено","ПРОВЕРИТЬ (таких муниципалитетов не может быть больше чем муниципалитетов - участников бюджетного процесса в соответствующем году)
)")</f>
        <v>Выполнено</v>
      </c>
      <c r="O160" s="25"/>
      <c r="P160" s="5"/>
    </row>
    <row r="161" spans="1:16" ht="72" hidden="1" x14ac:dyDescent="0.3">
      <c r="B161" s="87" t="s">
        <v>313</v>
      </c>
      <c r="C161" s="88" t="s">
        <v>314</v>
      </c>
      <c r="D161" s="28">
        <f t="shared" si="23"/>
        <v>6</v>
      </c>
      <c r="E161" s="89">
        <v>1</v>
      </c>
      <c r="F161" s="89">
        <v>3</v>
      </c>
      <c r="G161" s="89">
        <v>2</v>
      </c>
      <c r="H161" s="89"/>
      <c r="I161" s="89"/>
      <c r="J161" s="37"/>
      <c r="K161" s="37"/>
      <c r="L161" s="37"/>
      <c r="M161" s="37"/>
      <c r="N161" s="31" t="str">
        <f>IF((D161&lt;=D$151)*AND(E161&lt;=E$151)*AND(F161&lt;=F$151)*AND(G161&lt;=G$151)*AND(H161&lt;=H$151)*AND(I161&lt;=I$151)*AND(K161&lt;=K$151)*AND(L161&lt;=L$151)*AND(M161&lt;=M$151)*AND(J161&lt;=J$151),"Выполнено","ПРОВЕРИТЬ (таких муниципалитетов не может быть больше чем муниципалитетов - участников бюджетного процесса в соответствующем году)
)")</f>
        <v>Выполнено</v>
      </c>
      <c r="O161" s="83"/>
      <c r="P161" s="5"/>
    </row>
    <row r="162" spans="1:16" ht="72" hidden="1" x14ac:dyDescent="0.3">
      <c r="B162" s="87" t="s">
        <v>315</v>
      </c>
      <c r="C162" s="88" t="s">
        <v>316</v>
      </c>
      <c r="D162" s="28">
        <f t="shared" si="23"/>
        <v>5</v>
      </c>
      <c r="E162" s="89"/>
      <c r="F162" s="89">
        <v>1</v>
      </c>
      <c r="G162" s="89">
        <v>4</v>
      </c>
      <c r="H162" s="89"/>
      <c r="I162" s="89"/>
      <c r="J162" s="37"/>
      <c r="K162" s="37"/>
      <c r="L162" s="37"/>
      <c r="M162" s="37"/>
      <c r="N162" s="31" t="str">
        <f t="shared" ref="N162:N163" si="26">IF((D162&lt;=D$151)*AND(E162&lt;=E$151)*AND(F162&lt;=F$151)*AND(G162&lt;=G$151)*AND(H162&lt;=H$151)*AND(I162&lt;=I$151)*AND(K162&lt;=K$151)*AND(L162&lt;=L$151)*AND(M162&lt;=M$151)*AND(J162&lt;=J$151),"Выполнено","ПРОВЕРИТЬ (таких муниципалитетов не может быть больше чем муниципалитетов - участников бюджетного процесса в соответствующем году)
)")</f>
        <v>Выполнено</v>
      </c>
      <c r="O162" s="83"/>
      <c r="P162" s="5"/>
    </row>
    <row r="163" spans="1:16" ht="57.6" hidden="1" x14ac:dyDescent="0.3">
      <c r="B163" s="87" t="s">
        <v>317</v>
      </c>
      <c r="C163" s="88" t="s">
        <v>318</v>
      </c>
      <c r="D163" s="28">
        <f t="shared" si="23"/>
        <v>8</v>
      </c>
      <c r="E163" s="89"/>
      <c r="F163" s="89"/>
      <c r="G163" s="89">
        <v>8</v>
      </c>
      <c r="H163" s="89"/>
      <c r="I163" s="89"/>
      <c r="J163" s="37"/>
      <c r="K163" s="37"/>
      <c r="L163" s="37"/>
      <c r="M163" s="37"/>
      <c r="N163" s="31" t="str">
        <f t="shared" si="26"/>
        <v>Выполнено</v>
      </c>
      <c r="O163" s="83"/>
      <c r="P163" s="90"/>
    </row>
    <row r="164" spans="1:16" ht="43.2" hidden="1" x14ac:dyDescent="0.3">
      <c r="B164" s="91" t="s">
        <v>319</v>
      </c>
      <c r="C164" s="92" t="s">
        <v>320</v>
      </c>
      <c r="D164" s="28">
        <f t="shared" si="23"/>
        <v>0</v>
      </c>
      <c r="E164" s="36"/>
      <c r="F164" s="36"/>
      <c r="G164" s="36"/>
      <c r="H164" s="36"/>
      <c r="I164" s="36"/>
      <c r="J164" s="36"/>
      <c r="K164" s="36"/>
      <c r="L164" s="36"/>
      <c r="M164" s="36"/>
      <c r="N164" s="83"/>
      <c r="O164" s="31" t="str">
        <f>IF(((D164=0)),"   ","Нужно заполнить пункт 22 текстовой части - о временных финансовых администрациях")</f>
        <v xml:space="preserve">   </v>
      </c>
      <c r="P164" s="52"/>
    </row>
    <row r="165" spans="1:16" ht="43.2" hidden="1" x14ac:dyDescent="0.3">
      <c r="B165" s="93" t="s">
        <v>321</v>
      </c>
      <c r="C165" s="22" t="s">
        <v>322</v>
      </c>
      <c r="D165" s="23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5"/>
      <c r="P165" s="52"/>
    </row>
    <row r="166" spans="1:16" ht="100.8" hidden="1" x14ac:dyDescent="0.3">
      <c r="B166" s="82" t="s">
        <v>323</v>
      </c>
      <c r="C166" s="1" t="s">
        <v>324</v>
      </c>
      <c r="D166" s="28">
        <f t="shared" si="23"/>
        <v>18</v>
      </c>
      <c r="E166" s="85">
        <v>1</v>
      </c>
      <c r="F166" s="85">
        <v>3</v>
      </c>
      <c r="G166" s="85">
        <v>14</v>
      </c>
      <c r="H166" s="85"/>
      <c r="I166" s="85"/>
      <c r="J166" s="86"/>
      <c r="K166" s="53"/>
      <c r="L166" s="53"/>
      <c r="M166" s="53"/>
      <c r="N166" s="31" t="str">
        <f>IF((D166&lt;=D151)*AND(E166&lt;=E151)*AND(F166&lt;=F151)*AND(G166&lt;=G151)*AND(H166&lt;=H151)*AND(I166&lt;=I151)*AND(K166&lt;=K151)*AND(L166&lt;=L151)*AND(M166&lt;=M151)*AND(J166&lt;=J151),"Выполнено","ПРОВЕРИТЬ (адресатами делегированных госполномочий могут быть только муниципалитеты - участники бюджетного процесса в соответствующем финансовом году)
)")</f>
        <v>Выполнено</v>
      </c>
      <c r="O166" s="31" t="str">
        <f>IF(((E166=E151)*AND(H166=H151)*AND(I166=I151)*AND(K166=K151)*AND(J166=J151)),"   ","Подсказка - муниципальные районы, муниципальные и городские округа практически всегда осуществляют делегированные госполномочия")</f>
        <v xml:space="preserve">   </v>
      </c>
      <c r="P166" s="52"/>
    </row>
    <row r="167" spans="1:16" ht="43.2" hidden="1" x14ac:dyDescent="0.3">
      <c r="B167" s="82" t="s">
        <v>325</v>
      </c>
      <c r="C167" s="1" t="s">
        <v>326</v>
      </c>
      <c r="D167" s="28">
        <f t="shared" si="23"/>
        <v>18</v>
      </c>
      <c r="E167" s="85">
        <v>1</v>
      </c>
      <c r="F167" s="85">
        <v>3</v>
      </c>
      <c r="G167" s="85">
        <v>14</v>
      </c>
      <c r="H167" s="85"/>
      <c r="I167" s="85"/>
      <c r="J167" s="86"/>
      <c r="K167" s="53"/>
      <c r="L167" s="53"/>
      <c r="M167" s="53"/>
      <c r="N167" s="31" t="str">
        <f>IF((D167&lt;=D166)*AND(E167&lt;=E166)*AND(F167&lt;=F166)*AND(G167&lt;=G166)*AND(H167&lt;=H166)*AND(I167&lt;=I166)*AND(K167&lt;=K166)*AND(L167&lt;=L166)*AND(M167&lt;=M166)*AND(J167&lt;=J166),"Выполнено","ПРОВЕРИТЬ (эта подстрока не может быть больше 10.1)
)")</f>
        <v>Выполнено</v>
      </c>
      <c r="O167" s="25"/>
      <c r="P167" s="52"/>
    </row>
    <row r="168" spans="1:16" s="14" customFormat="1" ht="43.2" hidden="1" x14ac:dyDescent="0.3">
      <c r="A168" s="94"/>
      <c r="B168" s="82" t="s">
        <v>327</v>
      </c>
      <c r="C168" s="1" t="s">
        <v>328</v>
      </c>
      <c r="D168" s="28">
        <f t="shared" si="23"/>
        <v>18</v>
      </c>
      <c r="E168" s="85">
        <v>1</v>
      </c>
      <c r="F168" s="85">
        <v>3</v>
      </c>
      <c r="G168" s="85">
        <v>14</v>
      </c>
      <c r="H168" s="85"/>
      <c r="I168" s="85"/>
      <c r="J168" s="86"/>
      <c r="K168" s="53"/>
      <c r="L168" s="53"/>
      <c r="M168" s="64"/>
      <c r="N168" s="31" t="str">
        <f>IF((D168&lt;=D167)*AND(E168&lt;=E167)*AND(F168&lt;=F167)*AND(G168&lt;=G167)*AND(H168&lt;=H167)*AND(I168&lt;=I167)*AND(K168&lt;=K167)*AND(L168&lt;=L167)*AND(M168=0)*AND(J168&lt;=J167),"Выполнено","ПРОВЕРИТЬ (эта подстрока не может быть больше 10.1.1 (все делегированные федеральные госполномочия), в городах федерального значения эта функция делегируется муниципалитетам опосредованно через сами города, см. строку 10.1.2.1)
)")</f>
        <v>Выполнено</v>
      </c>
      <c r="O168" s="25"/>
      <c r="P168" s="90"/>
    </row>
    <row r="169" spans="1:16" s="14" customFormat="1" ht="43.2" hidden="1" x14ac:dyDescent="0.3">
      <c r="B169" s="33" t="s">
        <v>329</v>
      </c>
      <c r="C169" s="34" t="s">
        <v>330</v>
      </c>
      <c r="D169" s="28">
        <f t="shared" si="23"/>
        <v>17</v>
      </c>
      <c r="E169" s="84"/>
      <c r="F169" s="84">
        <v>3</v>
      </c>
      <c r="G169" s="84">
        <v>14</v>
      </c>
      <c r="H169" s="84"/>
      <c r="I169" s="84"/>
      <c r="J169" s="84"/>
      <c r="K169" s="49"/>
      <c r="L169" s="49"/>
      <c r="M169" s="49"/>
      <c r="N169" s="31" t="str">
        <f>IF((D169&lt;=D167)*AND(E169&lt;=E167)*AND(F169&lt;=F167)*AND(G169&lt;=G167)*AND(H169&lt;=H167)*AND(I169&lt;=I167)*AND(K169&lt;=K167)*AND(L169&lt;=L167)*AND(M169&lt;=M167)*AND(J169&lt;=J167),"Выполнено","ПРОВЕРИТЬ (эта подстрока не может быть больше 11.1.1)
)")</f>
        <v>Выполнено</v>
      </c>
      <c r="O169" s="31" t="str">
        <f>IF(((D169=0)),"   ","Нужно заполнить пункт 23 текстовой части - об органах местного самоуправления, осуществляющих первичный воинский учет")</f>
        <v>Нужно заполнить пункт 23 текстовой части - об органах местного самоуправления, осуществляющих первичный воинский учет</v>
      </c>
      <c r="P169" s="81"/>
    </row>
    <row r="170" spans="1:16" s="14" customFormat="1" ht="129.6" hidden="1" x14ac:dyDescent="0.3">
      <c r="B170" s="82" t="s">
        <v>331</v>
      </c>
      <c r="C170" s="1" t="s">
        <v>332</v>
      </c>
      <c r="D170" s="28">
        <f t="shared" si="23"/>
        <v>1</v>
      </c>
      <c r="E170" s="85">
        <v>1</v>
      </c>
      <c r="F170" s="85"/>
      <c r="G170" s="85"/>
      <c r="H170" s="85"/>
      <c r="I170" s="85"/>
      <c r="J170" s="86"/>
      <c r="K170" s="53"/>
      <c r="L170" s="53"/>
      <c r="M170" s="53"/>
      <c r="N170" s="31" t="str">
        <f>IF((D170&lt;=D166)*AND(E170&lt;=E166)*AND(F170&lt;=F166)*AND(G170&lt;=G166)*AND(H170&lt;=H166)*AND(I170&lt;=I166)*AND(K170&lt;=K166)*AND(L170&lt;=L166)*AND(M170&lt;=M166)*AND(J170&lt;=J166),"Выполнено","ПРОВЕРИТЬ (эта подстрока не может быть больше 10.1)
)")</f>
        <v>Выполнено</v>
      </c>
      <c r="O170" s="83"/>
      <c r="P170" s="52"/>
    </row>
    <row r="171" spans="1:16" s="14" customFormat="1" ht="43.2" hidden="1" x14ac:dyDescent="0.3">
      <c r="B171" s="82" t="s">
        <v>333</v>
      </c>
      <c r="C171" s="1" t="s">
        <v>334</v>
      </c>
      <c r="D171" s="28">
        <f>M171</f>
        <v>0</v>
      </c>
      <c r="E171" s="45"/>
      <c r="F171" s="24"/>
      <c r="G171" s="24"/>
      <c r="H171" s="24"/>
      <c r="I171" s="24"/>
      <c r="J171" s="24"/>
      <c r="K171" s="24"/>
      <c r="L171" s="25"/>
      <c r="M171" s="53"/>
      <c r="N171" s="31" t="str">
        <f>IF((M171&lt;=M170),"Выполнено","ПРОВЕРИТЬ (эта подстрока не может быть больше основной строки)")</f>
        <v>Выполнено</v>
      </c>
      <c r="O171" s="83"/>
      <c r="P171" s="52"/>
    </row>
    <row r="172" spans="1:16" s="14" customFormat="1" ht="28.8" hidden="1" x14ac:dyDescent="0.3">
      <c r="B172" s="33" t="s">
        <v>335</v>
      </c>
      <c r="C172" s="34" t="s">
        <v>336</v>
      </c>
      <c r="D172" s="28">
        <f t="shared" si="23"/>
        <v>1</v>
      </c>
      <c r="E172" s="49">
        <v>1</v>
      </c>
      <c r="F172" s="49"/>
      <c r="G172" s="49"/>
      <c r="H172" s="49"/>
      <c r="I172" s="49"/>
      <c r="J172" s="49"/>
      <c r="K172" s="49"/>
      <c r="L172" s="49"/>
      <c r="M172" s="49"/>
      <c r="N172" s="31" t="str">
        <f>IF((D172&lt;=D$170)*AND(E172&lt;=E$170)*AND(F172&lt;=F$170)*AND(G172&lt;=G$170)*AND(H172&lt;=H$170)*AND(I172&lt;=I$170)*AND(K172&lt;=K$170)*AND(L172&lt;=L$170)*AND(M172&lt;=M$170)*AND(J172&lt;=J$170),"Выполнено","ПРОВЕРИТЬ (эта подстрока не может быть больше 10.1.2)
)")</f>
        <v>Выполнено</v>
      </c>
      <c r="O172" s="31" t="str">
        <f>IF(((D172=0)),"   ","Нужно заполнить пункт 24 текстовой части - об органах местного самоуправления, осуществляющих полномочия по регистрации актов гражданского состояния")</f>
        <v>Нужно заполнить пункт 24 текстовой части - об органах местного самоуправления, осуществляющих полномочия по регистрации актов гражданского состояния</v>
      </c>
      <c r="P172" s="95"/>
    </row>
    <row r="173" spans="1:16" s="14" customFormat="1" ht="57.6" hidden="1" x14ac:dyDescent="0.3">
      <c r="B173" s="82" t="s">
        <v>337</v>
      </c>
      <c r="C173" s="1" t="s">
        <v>338</v>
      </c>
      <c r="D173" s="28">
        <f t="shared" si="23"/>
        <v>1</v>
      </c>
      <c r="E173" s="53">
        <v>1</v>
      </c>
      <c r="F173" s="53"/>
      <c r="G173" s="53"/>
      <c r="H173" s="53"/>
      <c r="I173" s="53"/>
      <c r="J173" s="29"/>
      <c r="K173" s="53"/>
      <c r="L173" s="53"/>
      <c r="M173" s="53"/>
      <c r="N173" s="31" t="str">
        <f>IF((D173&lt;=D170)*AND(E173&lt;=E170)*AND(F173&lt;=F170)*AND(G173&lt;=G170)*AND(H173&lt;=H170)*AND(I173&lt;=I170)*AND(K173&lt;=K170)*AND(L173&lt;=L170)*AND(M173&lt;=M170)*AND(J173&lt;=J170),"Выполнено","ПРОВЕРИТЬ (эта подстрока не может быть больше 10.1.2)
)")</f>
        <v>Выполнено</v>
      </c>
      <c r="O173" s="83"/>
      <c r="P173" s="95"/>
    </row>
    <row r="174" spans="1:16" s="14" customFormat="1" ht="43.2" hidden="1" x14ac:dyDescent="0.3">
      <c r="B174" s="82" t="s">
        <v>339</v>
      </c>
      <c r="C174" s="1" t="s">
        <v>340</v>
      </c>
      <c r="D174" s="28">
        <f t="shared" si="23"/>
        <v>0</v>
      </c>
      <c r="E174" s="53"/>
      <c r="F174" s="53"/>
      <c r="G174" s="53"/>
      <c r="H174" s="53"/>
      <c r="I174" s="53"/>
      <c r="J174" s="29"/>
      <c r="K174" s="53"/>
      <c r="L174" s="53"/>
      <c r="M174" s="53"/>
      <c r="N174" s="31" t="str">
        <f>IF((D174&lt;=D$173)*AND(E174&lt;=E$173)*AND(F174&lt;=F$173)*AND(G174&lt;=G$173)*AND(H174&lt;=H$173)*AND(I174&lt;=I$173)*AND(K174&lt;=K$173)*AND(L174&lt;=L$173)*AND(M174&lt;=M$173)*AND(J174&lt;=J$173),"Выполнено","ПРОВЕРИТЬ (эта подстрока не может быть больше 10.1.2.4)
)")</f>
        <v>Выполнено</v>
      </c>
      <c r="O174" s="83"/>
      <c r="P174" s="95"/>
    </row>
    <row r="175" spans="1:16" s="14" customFormat="1" ht="28.8" hidden="1" x14ac:dyDescent="0.3">
      <c r="B175" s="82" t="s">
        <v>341</v>
      </c>
      <c r="C175" s="1" t="s">
        <v>342</v>
      </c>
      <c r="D175" s="28">
        <f t="shared" si="23"/>
        <v>1</v>
      </c>
      <c r="E175" s="53">
        <v>1</v>
      </c>
      <c r="F175" s="53"/>
      <c r="G175" s="53"/>
      <c r="H175" s="53"/>
      <c r="I175" s="53"/>
      <c r="J175" s="29"/>
      <c r="K175" s="53"/>
      <c r="L175" s="53"/>
      <c r="M175" s="53"/>
      <c r="N175" s="31" t="str">
        <f t="shared" ref="N175:N180" si="27">IF((D175&lt;=D$173)*AND(E175&lt;=E$173)*AND(F175&lt;=F$173)*AND(G175&lt;=G$173)*AND(H175&lt;=H$173)*AND(I175&lt;=I$173)*AND(K175&lt;=K$173)*AND(L175&lt;=L$173)*AND(M175&lt;=M$173)*AND(J175&lt;=J$173),"Выполнено","ПРОВЕРИТЬ (эта подстрока не может быть больше 10.1.2.4)
)")</f>
        <v>Выполнено</v>
      </c>
      <c r="O175" s="83"/>
      <c r="P175" s="95"/>
    </row>
    <row r="176" spans="1:16" s="14" customFormat="1" ht="43.2" hidden="1" x14ac:dyDescent="0.3">
      <c r="B176" s="82" t="s">
        <v>343</v>
      </c>
      <c r="C176" s="1" t="s">
        <v>344</v>
      </c>
      <c r="D176" s="28">
        <f t="shared" si="23"/>
        <v>0</v>
      </c>
      <c r="E176" s="53"/>
      <c r="F176" s="53"/>
      <c r="G176" s="53"/>
      <c r="H176" s="53"/>
      <c r="I176" s="53"/>
      <c r="J176" s="29"/>
      <c r="K176" s="53"/>
      <c r="L176" s="53"/>
      <c r="M176" s="53"/>
      <c r="N176" s="31" t="str">
        <f t="shared" si="27"/>
        <v>Выполнено</v>
      </c>
      <c r="O176" s="83"/>
      <c r="P176" s="95"/>
    </row>
    <row r="177" spans="2:16" s="14" customFormat="1" ht="43.2" hidden="1" x14ac:dyDescent="0.3">
      <c r="B177" s="82" t="s">
        <v>345</v>
      </c>
      <c r="C177" s="1" t="s">
        <v>346</v>
      </c>
      <c r="D177" s="28">
        <f t="shared" si="23"/>
        <v>1</v>
      </c>
      <c r="E177" s="53">
        <v>1</v>
      </c>
      <c r="F177" s="53"/>
      <c r="G177" s="53"/>
      <c r="H177" s="53"/>
      <c r="I177" s="53"/>
      <c r="J177" s="29"/>
      <c r="K177" s="53"/>
      <c r="L177" s="53"/>
      <c r="M177" s="53"/>
      <c r="N177" s="31" t="str">
        <f t="shared" si="27"/>
        <v>Выполнено</v>
      </c>
      <c r="O177" s="83"/>
      <c r="P177" s="95"/>
    </row>
    <row r="178" spans="2:16" s="14" customFormat="1" ht="72" hidden="1" x14ac:dyDescent="0.3">
      <c r="B178" s="82" t="s">
        <v>347</v>
      </c>
      <c r="C178" s="1" t="s">
        <v>348</v>
      </c>
      <c r="D178" s="28">
        <f t="shared" si="23"/>
        <v>1</v>
      </c>
      <c r="E178" s="53">
        <v>1</v>
      </c>
      <c r="F178" s="53"/>
      <c r="G178" s="53"/>
      <c r="H178" s="53"/>
      <c r="I178" s="53"/>
      <c r="J178" s="29"/>
      <c r="K178" s="53"/>
      <c r="L178" s="53"/>
      <c r="M178" s="53"/>
      <c r="N178" s="31" t="str">
        <f t="shared" si="27"/>
        <v>Выполнено</v>
      </c>
      <c r="O178" s="83"/>
      <c r="P178" s="95"/>
    </row>
    <row r="179" spans="2:16" s="14" customFormat="1" ht="28.8" hidden="1" x14ac:dyDescent="0.3">
      <c r="B179" s="82" t="s">
        <v>349</v>
      </c>
      <c r="C179" s="1" t="s">
        <v>350</v>
      </c>
      <c r="D179" s="28">
        <f t="shared" si="23"/>
        <v>0</v>
      </c>
      <c r="E179" s="53"/>
      <c r="F179" s="53"/>
      <c r="G179" s="53"/>
      <c r="H179" s="53"/>
      <c r="I179" s="53"/>
      <c r="J179" s="29"/>
      <c r="K179" s="53"/>
      <c r="L179" s="53"/>
      <c r="M179" s="53"/>
      <c r="N179" s="31" t="str">
        <f t="shared" si="27"/>
        <v>Выполнено</v>
      </c>
      <c r="O179" s="83"/>
      <c r="P179" s="95"/>
    </row>
    <row r="180" spans="2:16" s="14" customFormat="1" ht="28.8" hidden="1" x14ac:dyDescent="0.3">
      <c r="B180" s="82" t="s">
        <v>351</v>
      </c>
      <c r="C180" s="1" t="s">
        <v>352</v>
      </c>
      <c r="D180" s="28">
        <f t="shared" si="23"/>
        <v>1</v>
      </c>
      <c r="E180" s="53">
        <v>1</v>
      </c>
      <c r="F180" s="53"/>
      <c r="G180" s="53"/>
      <c r="H180" s="53"/>
      <c r="I180" s="53"/>
      <c r="J180" s="29"/>
      <c r="K180" s="53"/>
      <c r="L180" s="53"/>
      <c r="M180" s="53"/>
      <c r="N180" s="31" t="str">
        <f t="shared" si="27"/>
        <v>Выполнено</v>
      </c>
      <c r="O180" s="83"/>
      <c r="P180" s="95"/>
    </row>
    <row r="181" spans="2:16" s="14" customFormat="1" ht="144" x14ac:dyDescent="0.3">
      <c r="B181" s="33" t="s">
        <v>353</v>
      </c>
      <c r="C181" s="34" t="s">
        <v>354</v>
      </c>
      <c r="D181" s="28">
        <f t="shared" si="23"/>
        <v>0</v>
      </c>
      <c r="E181" s="84"/>
      <c r="F181" s="84"/>
      <c r="G181" s="84"/>
      <c r="H181" s="84"/>
      <c r="I181" s="84"/>
      <c r="J181" s="84"/>
      <c r="K181" s="49"/>
      <c r="L181" s="49"/>
      <c r="M181" s="49"/>
      <c r="N181" s="31" t="str">
        <f>IF((D181&lt;=D166)*AND(E181&lt;=E166)*AND(F181&lt;=F166)*AND(G181&lt;=G166)*AND(H181&lt;=H166)*AND(I181&lt;=I166)*AND(K181&lt;=K166)*AND(L181&lt;=L166)*AND(M181&lt;=M166)*AND(J181&lt;=J166),"Выполнено","ПРОВЕРИТЬ (эта подстрока не может быть больше 10.1)
)")</f>
        <v>Выполнено</v>
      </c>
      <c r="O181" s="31" t="str">
        <f>IF(((D181=0)),"   ","Нужно заполнить пункт 25 текстовой части - об осуществлении делегированных госполномочий субъекта Российской Федерации")</f>
        <v xml:space="preserve">   </v>
      </c>
      <c r="P181" s="95"/>
    </row>
    <row r="182" spans="2:16" s="14" customFormat="1" ht="57.6" x14ac:dyDescent="0.3">
      <c r="B182" s="82" t="s">
        <v>355</v>
      </c>
      <c r="C182" s="1" t="s">
        <v>356</v>
      </c>
      <c r="D182" s="28">
        <f>E182+K182</f>
        <v>0</v>
      </c>
      <c r="E182" s="53"/>
      <c r="F182" s="24">
        <v>1</v>
      </c>
      <c r="G182" s="24"/>
      <c r="H182" s="24"/>
      <c r="I182" s="24"/>
      <c r="J182" s="24"/>
      <c r="K182" s="53"/>
      <c r="L182" s="24"/>
      <c r="M182" s="24"/>
      <c r="N182" s="96" t="str">
        <f>IF((E182&lt;=E181)*AND(K182&lt;=K181),"Выполнено","ПРОВЕРИТЬ (эта подстрока не может быть больше предыдущей)
)")</f>
        <v>Выполнено</v>
      </c>
      <c r="O182" s="30"/>
      <c r="P182" s="95"/>
    </row>
    <row r="183" spans="2:16" s="14" customFormat="1" ht="57.6" x14ac:dyDescent="0.3">
      <c r="B183" s="33" t="s">
        <v>357</v>
      </c>
      <c r="C183" s="34" t="s">
        <v>358</v>
      </c>
      <c r="D183" s="35">
        <f t="shared" si="23"/>
        <v>0</v>
      </c>
      <c r="E183" s="97">
        <f t="shared" ref="E183:M183" si="28">E151-E166</f>
        <v>0</v>
      </c>
      <c r="F183" s="97">
        <v>0</v>
      </c>
      <c r="G183" s="97">
        <f t="shared" si="28"/>
        <v>0</v>
      </c>
      <c r="H183" s="97">
        <f t="shared" si="28"/>
        <v>0</v>
      </c>
      <c r="I183" s="97">
        <f t="shared" si="28"/>
        <v>0</v>
      </c>
      <c r="J183" s="97">
        <f t="shared" si="28"/>
        <v>0</v>
      </c>
      <c r="K183" s="98">
        <f t="shared" si="28"/>
        <v>0</v>
      </c>
      <c r="L183" s="98">
        <f t="shared" si="28"/>
        <v>0</v>
      </c>
      <c r="M183" s="98">
        <f t="shared" si="28"/>
        <v>0</v>
      </c>
      <c r="N183" s="30"/>
      <c r="O183" s="31" t="str">
        <f>IF(((D183-G183=0)),"   ","Нужно заполнить пункт 26 текстовой части - об органах местного самоуправления, НЕ осуществляющих делегированные государственные полномочия")</f>
        <v xml:space="preserve">   </v>
      </c>
      <c r="P183" s="95"/>
    </row>
    <row r="184" spans="2:16" s="14" customFormat="1" ht="57.6" x14ac:dyDescent="0.3">
      <c r="B184" s="21" t="s">
        <v>359</v>
      </c>
      <c r="C184" s="1" t="s">
        <v>360</v>
      </c>
      <c r="D184" s="40"/>
      <c r="E184" s="99"/>
      <c r="F184" s="99">
        <v>0</v>
      </c>
      <c r="G184" s="99"/>
      <c r="H184" s="99"/>
      <c r="I184" s="99"/>
      <c r="J184" s="99"/>
      <c r="K184" s="46"/>
      <c r="L184" s="46"/>
      <c r="M184" s="69"/>
      <c r="N184" s="43"/>
      <c r="O184" s="30"/>
      <c r="P184" s="95"/>
    </row>
    <row r="185" spans="2:16" s="14" customFormat="1" x14ac:dyDescent="0.3">
      <c r="B185" s="21" t="s">
        <v>361</v>
      </c>
      <c r="C185" s="1" t="s">
        <v>362</v>
      </c>
      <c r="D185" s="28">
        <f t="shared" si="23"/>
        <v>0</v>
      </c>
      <c r="E185" s="100"/>
      <c r="F185" s="100">
        <v>0</v>
      </c>
      <c r="G185" s="100"/>
      <c r="H185" s="100"/>
      <c r="I185" s="100"/>
      <c r="J185" s="100"/>
      <c r="K185" s="75"/>
      <c r="L185" s="75"/>
      <c r="M185" s="75"/>
      <c r="N185" s="30"/>
      <c r="O185" s="30"/>
      <c r="P185" s="95"/>
    </row>
    <row r="186" spans="2:16" s="14" customFormat="1" x14ac:dyDescent="0.3">
      <c r="B186" s="21" t="s">
        <v>363</v>
      </c>
      <c r="C186" s="1" t="s">
        <v>364</v>
      </c>
      <c r="D186" s="28">
        <f t="shared" si="23"/>
        <v>0</v>
      </c>
      <c r="E186" s="86"/>
      <c r="F186" s="86">
        <v>0</v>
      </c>
      <c r="G186" s="86"/>
      <c r="H186" s="86"/>
      <c r="I186" s="86"/>
      <c r="J186" s="86"/>
      <c r="K186" s="29"/>
      <c r="L186" s="29"/>
      <c r="M186" s="29"/>
      <c r="N186" s="30"/>
      <c r="O186" s="30"/>
      <c r="P186" s="95"/>
    </row>
    <row r="187" spans="2:16" s="14" customFormat="1" ht="86.4" x14ac:dyDescent="0.3">
      <c r="B187" s="33" t="s">
        <v>365</v>
      </c>
      <c r="C187" s="34" t="s">
        <v>366</v>
      </c>
      <c r="D187" s="28">
        <f t="shared" si="23"/>
        <v>0</v>
      </c>
      <c r="E187" s="78"/>
      <c r="F187" s="78">
        <v>0</v>
      </c>
      <c r="G187" s="78"/>
      <c r="H187" s="78"/>
      <c r="I187" s="78"/>
      <c r="J187" s="78"/>
      <c r="K187" s="78"/>
      <c r="L187" s="78"/>
      <c r="M187" s="78"/>
      <c r="N187" s="31" t="str">
        <f>IF((D187&lt;=D151)*AND(E187&lt;=E151)*AND(F187&lt;=F151)*AND(G187&lt;=G151)*AND(H187&lt;=H151)*AND(I187&lt;=I151)*AND(K187&lt;=K151)*AND(L187&lt;=L151)*AND(M187&lt;=M151)*AND(J187&lt;=J151),"Выполнено","ПРОВЕРИТЬ (изъять полномочия в порядке перераспределения можно только у тех, кто обладал ими)
)")</f>
        <v>Выполнено</v>
      </c>
      <c r="O187" s="31" t="str">
        <f>IF(((D187=0)),"   ","Нужно заполнить пункт 27 текстовой части - о перераспределении полномочий")</f>
        <v xml:space="preserve">   </v>
      </c>
      <c r="P187" s="95"/>
    </row>
    <row r="188" spans="2:16" s="14" customFormat="1" ht="28.8" x14ac:dyDescent="0.3">
      <c r="B188" s="21" t="s">
        <v>367</v>
      </c>
      <c r="C188" s="1" t="s">
        <v>368</v>
      </c>
      <c r="D188" s="28">
        <f t="shared" si="23"/>
        <v>0</v>
      </c>
      <c r="E188" s="79"/>
      <c r="F188" s="79">
        <v>0</v>
      </c>
      <c r="G188" s="79"/>
      <c r="H188" s="79"/>
      <c r="I188" s="79"/>
      <c r="J188" s="79"/>
      <c r="K188" s="79"/>
      <c r="L188" s="79"/>
      <c r="M188" s="79"/>
      <c r="N188" s="31" t="str">
        <f>IF((D188&lt;=D187)*AND(E188&lt;=E187)*AND(F188&lt;=F187)*AND(H188&lt;=H187)*AND(I188&lt;=I187)*AND(K188&lt;=K187)*AND(L188&lt;=L187)*AND(M188&lt;=M187)*AND(J188&lt;=J187),"Выполнено","ПРОВЕРИТЬ (эта подстрока не может быть больше 10.3)
)")</f>
        <v>Выполнено</v>
      </c>
      <c r="O188" s="30"/>
      <c r="P188" s="95"/>
    </row>
    <row r="189" spans="2:16" s="14" customFormat="1" ht="57.6" x14ac:dyDescent="0.3">
      <c r="B189" s="21" t="s">
        <v>369</v>
      </c>
      <c r="C189" s="1" t="s">
        <v>370</v>
      </c>
      <c r="D189" s="28">
        <f t="shared" si="23"/>
        <v>0</v>
      </c>
      <c r="E189" s="79"/>
      <c r="F189" s="79">
        <v>0</v>
      </c>
      <c r="G189" s="79"/>
      <c r="H189" s="79"/>
      <c r="I189" s="79"/>
      <c r="J189" s="79"/>
      <c r="K189" s="79"/>
      <c r="L189" s="79"/>
      <c r="M189" s="79"/>
      <c r="N189" s="31" t="str">
        <f>IF((D189&lt;=D187)*AND(E189&lt;=E187)*AND(F189&lt;=F187)*AND(H189&lt;=H187)*AND(I189&lt;=I187)*AND(K189&lt;=K187)*AND(L189&lt;=L187)*AND(M189&lt;=M187)*AND(J189&lt;=J187),"Выполнено","ПРОВЕРИТЬ (эта подстрока не может быть больше 10.3)
)")</f>
        <v>Выполнено</v>
      </c>
      <c r="O189" s="30"/>
      <c r="P189" s="95"/>
    </row>
    <row r="190" spans="2:16" s="14" customFormat="1" x14ac:dyDescent="0.3">
      <c r="B190" s="21" t="s">
        <v>371</v>
      </c>
      <c r="C190" s="1" t="s">
        <v>372</v>
      </c>
      <c r="D190" s="28">
        <f t="shared" si="23"/>
        <v>0</v>
      </c>
      <c r="E190" s="79"/>
      <c r="F190" s="79">
        <v>0</v>
      </c>
      <c r="G190" s="79"/>
      <c r="H190" s="79"/>
      <c r="I190" s="79"/>
      <c r="J190" s="79"/>
      <c r="K190" s="79"/>
      <c r="L190" s="79"/>
      <c r="M190" s="79"/>
      <c r="N190" s="31" t="str">
        <f>IF((D190&lt;=D187)*AND(E190&lt;=E187)*AND(F190&lt;=F187)*AND(H190&lt;=H187)*AND(I190&lt;=I187)*AND(K190&lt;=K187)*AND(L190&lt;=L187)*AND(M190&lt;=M187)*AND(J190&lt;=J187),"Выполнено","ПРОВЕРИТЬ (эта подстрока не может быть больше 10.3)
)")</f>
        <v>Выполнено</v>
      </c>
      <c r="O190" s="30"/>
      <c r="P190" s="95"/>
    </row>
    <row r="191" spans="2:16" s="14" customFormat="1" ht="28.8" x14ac:dyDescent="0.3">
      <c r="B191" s="21" t="s">
        <v>373</v>
      </c>
      <c r="C191" s="1" t="s">
        <v>374</v>
      </c>
      <c r="D191" s="28">
        <f t="shared" si="23"/>
        <v>0</v>
      </c>
      <c r="E191" s="79"/>
      <c r="F191" s="79">
        <v>0</v>
      </c>
      <c r="G191" s="79"/>
      <c r="H191" s="79"/>
      <c r="I191" s="79"/>
      <c r="J191" s="79"/>
      <c r="K191" s="79"/>
      <c r="L191" s="79"/>
      <c r="M191" s="79"/>
      <c r="N191" s="31" t="str">
        <f>IF((D191&lt;=D187)*AND(E191&lt;=E187)*AND(F191&lt;=F187)*AND(H191&lt;=H187)*AND(I191&lt;=I187)*AND(K191&lt;=K187)*AND(L191&lt;=L187)*AND(M191&lt;=M187)*AND(J191&lt;=J187),"Выполнено","ПРОВЕРИТЬ (эта подстрока не может быть больше 10.3)
)")</f>
        <v>Выполнено</v>
      </c>
      <c r="O191" s="30"/>
      <c r="P191" s="95"/>
    </row>
    <row r="192" spans="2:16" s="14" customFormat="1" x14ac:dyDescent="0.3">
      <c r="B192" s="21" t="s">
        <v>375</v>
      </c>
      <c r="C192" s="1" t="s">
        <v>376</v>
      </c>
      <c r="D192" s="28">
        <f t="shared" si="23"/>
        <v>0</v>
      </c>
      <c r="E192" s="79"/>
      <c r="F192" s="79">
        <v>0</v>
      </c>
      <c r="G192" s="79"/>
      <c r="H192" s="79"/>
      <c r="I192" s="79"/>
      <c r="J192" s="79"/>
      <c r="K192" s="79"/>
      <c r="L192" s="79"/>
      <c r="M192" s="79"/>
      <c r="N192" s="31" t="str">
        <f>IF((D192&lt;=D187)*AND(E192&lt;=E187)*AND(F192&lt;=F187)*AND(H192&lt;=H187)*AND(I192&lt;=I187)*AND(K192&lt;=K187)*AND(L192&lt;=L187)*AND(M192&lt;=M187)*AND(J192&lt;=J187),"Выполнено","ПРОВЕРИТЬ (эта подстрока не может быть больше 10.3)
)")</f>
        <v>Выполнено</v>
      </c>
      <c r="O192" s="30"/>
      <c r="P192" s="95"/>
    </row>
    <row r="193" spans="2:16" s="14" customFormat="1" ht="43.2" x14ac:dyDescent="0.3">
      <c r="B193" s="21" t="s">
        <v>377</v>
      </c>
      <c r="C193" s="1" t="s">
        <v>378</v>
      </c>
      <c r="D193" s="28">
        <f t="shared" si="23"/>
        <v>0</v>
      </c>
      <c r="E193" s="79"/>
      <c r="F193" s="79">
        <v>0</v>
      </c>
      <c r="G193" s="79"/>
      <c r="H193" s="79"/>
      <c r="I193" s="79"/>
      <c r="J193" s="79"/>
      <c r="K193" s="79"/>
      <c r="L193" s="79"/>
      <c r="M193" s="79"/>
      <c r="N193" s="31" t="str">
        <f>IF((D193&lt;=D187)*AND(E193&lt;=E187)*AND(F193&lt;=F187)*AND(H193&lt;=H187)*AND(I193&lt;=I187)*AND(K193&lt;=K187)*AND(L193&lt;=L187)*AND(M193&lt;=M187)*AND(J193&lt;=J187),"Выполнено","ПРОВЕРИТЬ (эта подстрока не может быть больше 10.3)
)")</f>
        <v>Выполнено</v>
      </c>
      <c r="O193" s="30"/>
      <c r="P193" s="95"/>
    </row>
    <row r="194" spans="2:16" s="14" customFormat="1" ht="43.2" x14ac:dyDescent="0.3">
      <c r="B194" s="21" t="s">
        <v>379</v>
      </c>
      <c r="C194" s="1" t="s">
        <v>380</v>
      </c>
      <c r="D194" s="28">
        <f t="shared" si="23"/>
        <v>0</v>
      </c>
      <c r="E194" s="79"/>
      <c r="F194" s="79">
        <v>0</v>
      </c>
      <c r="G194" s="79"/>
      <c r="H194" s="79"/>
      <c r="I194" s="79"/>
      <c r="J194" s="79"/>
      <c r="K194" s="79"/>
      <c r="L194" s="79"/>
      <c r="M194" s="79"/>
      <c r="N194" s="31" t="str">
        <f>IF((D194&lt;=D187)*AND(E194&lt;=E187)*AND(F194&lt;=F187)*AND(H194&lt;=H187)*AND(I194&lt;=I187)*AND(K194&lt;=K187)*AND(L194&lt;=L187)*AND(M194&lt;=M187)*AND(J194&lt;=J187),"Выполнено","ПРОВЕРИТЬ (эта подстрока не может быть больше 10.3)
)")</f>
        <v>Выполнено</v>
      </c>
      <c r="O194" s="30"/>
      <c r="P194" s="95"/>
    </row>
    <row r="195" spans="2:16" s="14" customFormat="1" ht="14.25" customHeight="1" x14ac:dyDescent="0.3">
      <c r="B195" s="21" t="s">
        <v>381</v>
      </c>
      <c r="C195" s="1" t="s">
        <v>382</v>
      </c>
      <c r="D195" s="28">
        <f t="shared" si="23"/>
        <v>0</v>
      </c>
      <c r="E195" s="79"/>
      <c r="F195" s="79">
        <v>0</v>
      </c>
      <c r="G195" s="79"/>
      <c r="H195" s="79"/>
      <c r="I195" s="79"/>
      <c r="J195" s="79"/>
      <c r="K195" s="79"/>
      <c r="L195" s="79"/>
      <c r="M195" s="79"/>
      <c r="N195" s="31" t="str">
        <f>IF((D195&lt;=D187)*AND(E195&lt;=E187)*AND(F195&lt;=F187)*AND(H195&lt;=H187)*AND(I195&lt;=I187)*AND(K195&lt;=K187)*AND(L195&lt;=L187)*AND(M195&lt;=M187)*AND(J195&lt;=J187),"Выполнено","ПРОВЕРИТЬ (эта подстрока не может быть больше 10.3)
)")</f>
        <v>Выполнено</v>
      </c>
      <c r="O195" s="30"/>
      <c r="P195" s="95"/>
    </row>
    <row r="196" spans="2:16" s="14" customFormat="1" ht="14.25" customHeight="1" x14ac:dyDescent="0.3">
      <c r="B196" s="21" t="s">
        <v>383</v>
      </c>
      <c r="C196" s="1" t="s">
        <v>384</v>
      </c>
      <c r="D196" s="28">
        <f t="shared" si="23"/>
        <v>0</v>
      </c>
      <c r="E196" s="79"/>
      <c r="F196" s="79">
        <v>0</v>
      </c>
      <c r="G196" s="79"/>
      <c r="H196" s="79"/>
      <c r="I196" s="79"/>
      <c r="J196" s="79"/>
      <c r="K196" s="79"/>
      <c r="L196" s="79"/>
      <c r="M196" s="79"/>
      <c r="N196" s="31"/>
      <c r="O196" s="30"/>
      <c r="P196" s="95"/>
    </row>
    <row r="197" spans="2:16" s="14" customFormat="1" ht="14.25" customHeight="1" x14ac:dyDescent="0.3">
      <c r="B197" s="21" t="s">
        <v>385</v>
      </c>
      <c r="C197" s="1" t="s">
        <v>386</v>
      </c>
      <c r="D197" s="28">
        <f t="shared" si="23"/>
        <v>0</v>
      </c>
      <c r="E197" s="79"/>
      <c r="F197" s="79">
        <v>0</v>
      </c>
      <c r="G197" s="79"/>
      <c r="H197" s="79"/>
      <c r="I197" s="79"/>
      <c r="J197" s="79"/>
      <c r="K197" s="79"/>
      <c r="L197" s="79"/>
      <c r="M197" s="79"/>
      <c r="N197" s="31" t="str">
        <f>IF((D197&lt;=D188)*AND(E197&lt;=E188)*AND(F197&lt;=F188)*AND(H197&lt;=H188)*AND(I197&lt;=I188)*AND(K197&lt;=K188)*AND(L197&lt;=L188)*AND(M197&lt;=M188)*AND(J197&lt;=J188),"Выполнено","ПРОВЕРИТЬ (эта подстрока не может быть больше 10.3)
)")</f>
        <v>Выполнено</v>
      </c>
      <c r="O197" s="30"/>
      <c r="P197" s="95"/>
    </row>
    <row r="198" spans="2:16" s="14" customFormat="1" ht="28.5" customHeight="1" x14ac:dyDescent="0.3">
      <c r="B198" s="21" t="s">
        <v>387</v>
      </c>
      <c r="C198" s="1" t="s">
        <v>388</v>
      </c>
      <c r="D198" s="28">
        <f t="shared" si="23"/>
        <v>0</v>
      </c>
      <c r="E198" s="79"/>
      <c r="F198" s="79">
        <v>0</v>
      </c>
      <c r="G198" s="79"/>
      <c r="H198" s="79"/>
      <c r="I198" s="79"/>
      <c r="J198" s="79"/>
      <c r="K198" s="79"/>
      <c r="L198" s="79"/>
      <c r="M198" s="79"/>
      <c r="N198" s="31" t="str">
        <f>IF((D198&lt;=D189)*AND(E198&lt;=E189)*AND(F198&lt;=F189)*AND(H198&lt;=H189)*AND(I198&lt;=I189)*AND(K198&lt;=K189)*AND(L198&lt;=L189)*AND(M198&lt;=M189)*AND(J198&lt;=J189),"Выполнено","ПРОВЕРИТЬ (эта подстрока не может быть больше 10.3)
)")</f>
        <v>Выполнено</v>
      </c>
      <c r="O198" s="30"/>
      <c r="P198" s="95"/>
    </row>
    <row r="199" spans="2:16" s="14" customFormat="1" ht="30" customHeight="1" x14ac:dyDescent="0.3">
      <c r="B199" s="21" t="s">
        <v>389</v>
      </c>
      <c r="C199" s="1" t="s">
        <v>390</v>
      </c>
      <c r="D199" s="28">
        <f t="shared" si="23"/>
        <v>0</v>
      </c>
      <c r="E199" s="79"/>
      <c r="F199" s="79">
        <v>0</v>
      </c>
      <c r="G199" s="79"/>
      <c r="H199" s="79"/>
      <c r="I199" s="79"/>
      <c r="J199" s="79"/>
      <c r="K199" s="79"/>
      <c r="L199" s="79"/>
      <c r="M199" s="79"/>
      <c r="N199" s="31" t="str">
        <f>IF((D199&lt;=D190)*AND(E199&lt;=E190)*AND(F199&lt;=F190)*AND(H199&lt;=H190)*AND(I199&lt;=I190)*AND(K199&lt;=K190)*AND(L199&lt;=L190)*AND(M199&lt;=M190)*AND(J199&lt;=J190),"Выполнено","ПРОВЕРИТЬ (эта подстрока не может быть больше 10.3)
)")</f>
        <v>Выполнено</v>
      </c>
      <c r="O199" s="30"/>
      <c r="P199" s="95"/>
    </row>
    <row r="200" spans="2:16" s="14" customFormat="1" ht="28.8" x14ac:dyDescent="0.3">
      <c r="B200" s="21" t="s">
        <v>391</v>
      </c>
      <c r="C200" s="1" t="s">
        <v>392</v>
      </c>
      <c r="D200" s="28">
        <f t="shared" si="23"/>
        <v>0</v>
      </c>
      <c r="E200" s="79"/>
      <c r="F200" s="79">
        <v>0</v>
      </c>
      <c r="G200" s="79"/>
      <c r="H200" s="79"/>
      <c r="I200" s="79"/>
      <c r="J200" s="79"/>
      <c r="K200" s="79"/>
      <c r="L200" s="79"/>
      <c r="M200" s="79"/>
      <c r="N200" s="31" t="str">
        <f>IF((D200&lt;=D187)*AND(E200&lt;=E187)*AND(F200&lt;=F187)*AND(H200&lt;=H187)*AND(I200&lt;=I187)*AND(K200&lt;=K187)*AND(L200&lt;=L187)*AND(M200&lt;=M187)*AND(J200&lt;=J187),"Выполнено","ПРОВЕРИТЬ (эта подстрока не может быть больше 10.3)
)")</f>
        <v>Выполнено</v>
      </c>
      <c r="O200" s="30"/>
      <c r="P200" s="95"/>
    </row>
    <row r="201" spans="2:16" s="14" customFormat="1" x14ac:dyDescent="0.3">
      <c r="B201" s="21" t="s">
        <v>393</v>
      </c>
      <c r="C201" s="1" t="s">
        <v>394</v>
      </c>
      <c r="D201" s="28">
        <f t="shared" si="23"/>
        <v>0</v>
      </c>
      <c r="E201" s="79"/>
      <c r="F201" s="79">
        <v>0</v>
      </c>
      <c r="G201" s="79"/>
      <c r="H201" s="79"/>
      <c r="I201" s="79"/>
      <c r="J201" s="79"/>
      <c r="K201" s="79"/>
      <c r="L201" s="79"/>
      <c r="M201" s="79"/>
      <c r="N201" s="31" t="str">
        <f t="shared" ref="N201:N209" si="29">IF((D201&lt;=D187)*AND(E201&lt;=E187)*AND(F201&lt;=F187)*AND(H201&lt;=H187)*AND(I201&lt;=I187)*AND(K201&lt;=K187)*AND(L201&lt;=L187)*AND(M201&lt;=M187)*AND(J201&lt;=J187),"Выполнено","ПРОВЕРИТЬ (эта подстрока не может быть больше 10.3)
)")</f>
        <v>Выполнено</v>
      </c>
      <c r="O201" s="30"/>
      <c r="P201" s="95"/>
    </row>
    <row r="202" spans="2:16" s="14" customFormat="1" x14ac:dyDescent="0.3">
      <c r="B202" s="21" t="s">
        <v>395</v>
      </c>
      <c r="C202" s="1" t="s">
        <v>396</v>
      </c>
      <c r="D202" s="28">
        <f t="shared" si="23"/>
        <v>0</v>
      </c>
      <c r="E202" s="101"/>
      <c r="F202" s="101"/>
      <c r="G202" s="101"/>
      <c r="H202" s="101"/>
      <c r="I202" s="101"/>
      <c r="J202" s="101"/>
      <c r="K202" s="101"/>
      <c r="L202" s="101"/>
      <c r="M202" s="101"/>
      <c r="N202" s="31" t="str">
        <f t="shared" si="29"/>
        <v>Выполнено</v>
      </c>
      <c r="O202" s="30"/>
      <c r="P202" s="95"/>
    </row>
    <row r="203" spans="2:16" s="14" customFormat="1" ht="60.75" customHeight="1" x14ac:dyDescent="0.3">
      <c r="B203" s="21" t="s">
        <v>397</v>
      </c>
      <c r="C203" s="1" t="s">
        <v>398</v>
      </c>
      <c r="D203" s="28">
        <f t="shared" si="23"/>
        <v>0</v>
      </c>
      <c r="E203" s="79"/>
      <c r="F203" s="79">
        <v>0</v>
      </c>
      <c r="G203" s="79"/>
      <c r="H203" s="79"/>
      <c r="I203" s="79"/>
      <c r="J203" s="79"/>
      <c r="K203" s="79"/>
      <c r="L203" s="79"/>
      <c r="M203" s="79"/>
      <c r="N203" s="31" t="str">
        <f t="shared" si="29"/>
        <v>Выполнено</v>
      </c>
      <c r="O203" s="30"/>
      <c r="P203" s="95"/>
    </row>
    <row r="204" spans="2:16" s="14" customFormat="1" ht="46.5" customHeight="1" x14ac:dyDescent="0.3">
      <c r="B204" s="21" t="s">
        <v>399</v>
      </c>
      <c r="C204" s="1" t="s">
        <v>400</v>
      </c>
      <c r="D204" s="28">
        <f t="shared" si="23"/>
        <v>0</v>
      </c>
      <c r="E204" s="79"/>
      <c r="F204" s="79">
        <v>0</v>
      </c>
      <c r="G204" s="79"/>
      <c r="H204" s="79"/>
      <c r="I204" s="79"/>
      <c r="J204" s="79"/>
      <c r="K204" s="79"/>
      <c r="L204" s="79"/>
      <c r="M204" s="79"/>
      <c r="N204" s="31" t="str">
        <f t="shared" si="29"/>
        <v>Выполнено</v>
      </c>
      <c r="O204" s="30"/>
      <c r="P204" s="95"/>
    </row>
    <row r="205" spans="2:16" s="14" customFormat="1" x14ac:dyDescent="0.3">
      <c r="B205" s="21" t="s">
        <v>401</v>
      </c>
      <c r="C205" s="1" t="s">
        <v>402</v>
      </c>
      <c r="D205" s="28">
        <f t="shared" si="23"/>
        <v>0</v>
      </c>
      <c r="E205" s="79"/>
      <c r="F205" s="79">
        <v>0</v>
      </c>
      <c r="G205" s="79"/>
      <c r="H205" s="79"/>
      <c r="I205" s="79"/>
      <c r="J205" s="79"/>
      <c r="K205" s="79"/>
      <c r="L205" s="79"/>
      <c r="M205" s="79"/>
      <c r="N205" s="31" t="str">
        <f t="shared" si="29"/>
        <v>Выполнено</v>
      </c>
      <c r="O205" s="30"/>
      <c r="P205" s="95"/>
    </row>
    <row r="206" spans="2:16" s="14" customFormat="1" x14ac:dyDescent="0.3">
      <c r="B206" s="21" t="s">
        <v>403</v>
      </c>
      <c r="C206" s="1" t="s">
        <v>404</v>
      </c>
      <c r="D206" s="28">
        <f t="shared" si="23"/>
        <v>0</v>
      </c>
      <c r="E206" s="79"/>
      <c r="F206" s="79">
        <v>0</v>
      </c>
      <c r="G206" s="79"/>
      <c r="H206" s="79"/>
      <c r="I206" s="79"/>
      <c r="J206" s="79"/>
      <c r="K206" s="79"/>
      <c r="L206" s="79"/>
      <c r="M206" s="79"/>
      <c r="N206" s="31" t="str">
        <f t="shared" si="29"/>
        <v>Выполнено</v>
      </c>
      <c r="O206" s="30"/>
      <c r="P206" s="95"/>
    </row>
    <row r="207" spans="2:16" s="14" customFormat="1" x14ac:dyDescent="0.3">
      <c r="B207" s="21" t="s">
        <v>405</v>
      </c>
      <c r="C207" s="1" t="s">
        <v>406</v>
      </c>
      <c r="D207" s="28">
        <f t="shared" si="23"/>
        <v>0</v>
      </c>
      <c r="E207" s="79"/>
      <c r="F207" s="79">
        <v>0</v>
      </c>
      <c r="G207" s="79"/>
      <c r="H207" s="79"/>
      <c r="I207" s="79"/>
      <c r="J207" s="79"/>
      <c r="K207" s="79"/>
      <c r="L207" s="79"/>
      <c r="M207" s="79"/>
      <c r="N207" s="31" t="str">
        <f t="shared" si="29"/>
        <v>Выполнено</v>
      </c>
      <c r="O207" s="30"/>
      <c r="P207" s="95"/>
    </row>
    <row r="208" spans="2:16" s="14" customFormat="1" ht="45.75" customHeight="1" x14ac:dyDescent="0.3">
      <c r="B208" s="21" t="s">
        <v>407</v>
      </c>
      <c r="C208" s="1" t="s">
        <v>408</v>
      </c>
      <c r="D208" s="28">
        <f t="shared" si="23"/>
        <v>0</v>
      </c>
      <c r="E208" s="79"/>
      <c r="F208" s="79">
        <v>0</v>
      </c>
      <c r="G208" s="79"/>
      <c r="H208" s="79"/>
      <c r="I208" s="79"/>
      <c r="J208" s="79"/>
      <c r="K208" s="79"/>
      <c r="L208" s="79"/>
      <c r="M208" s="79"/>
      <c r="N208" s="31" t="str">
        <f t="shared" si="29"/>
        <v>Выполнено</v>
      </c>
      <c r="O208" s="30"/>
      <c r="P208" s="95"/>
    </row>
    <row r="209" spans="2:16" s="14" customFormat="1" x14ac:dyDescent="0.3">
      <c r="B209" s="21" t="s">
        <v>409</v>
      </c>
      <c r="C209" s="1" t="s">
        <v>410</v>
      </c>
      <c r="D209" s="28">
        <f t="shared" si="23"/>
        <v>0</v>
      </c>
      <c r="E209" s="79"/>
      <c r="F209" s="79">
        <v>0</v>
      </c>
      <c r="G209" s="79"/>
      <c r="H209" s="79"/>
      <c r="I209" s="79"/>
      <c r="J209" s="79"/>
      <c r="K209" s="79"/>
      <c r="L209" s="79"/>
      <c r="M209" s="79"/>
      <c r="N209" s="31" t="str">
        <f t="shared" si="29"/>
        <v>Выполнено</v>
      </c>
      <c r="O209" s="30"/>
      <c r="P209" s="95"/>
    </row>
    <row r="210" spans="2:16" s="14" customFormat="1" x14ac:dyDescent="0.3">
      <c r="B210" s="21" t="s">
        <v>411</v>
      </c>
      <c r="C210" s="1" t="s">
        <v>412</v>
      </c>
      <c r="D210" s="28">
        <f t="shared" si="23"/>
        <v>0</v>
      </c>
      <c r="E210" s="79"/>
      <c r="F210" s="79">
        <v>0</v>
      </c>
      <c r="G210" s="79"/>
      <c r="H210" s="79"/>
      <c r="I210" s="79"/>
      <c r="J210" s="79"/>
      <c r="K210" s="79"/>
      <c r="L210" s="79"/>
      <c r="M210" s="79"/>
      <c r="N210" s="31" t="str">
        <f>IF((D210&lt;=D186)*AND(E210&lt;=E186)*AND(F210&lt;=F186)*AND(H210&lt;=H186)*AND(I210&lt;=I186)*AND(K210&lt;=K186)*AND(L210&lt;=L186)*AND(M210&lt;=M186)*AND(J210&lt;=J186),"Выполнено","ПРОВЕРИТЬ (эта подстрока не может быть больше 10.3)
)")</f>
        <v>Выполнено</v>
      </c>
      <c r="O210" s="30"/>
      <c r="P210" s="95"/>
    </row>
    <row r="211" spans="2:16" s="14" customFormat="1" ht="33.75" customHeight="1" x14ac:dyDescent="0.3">
      <c r="B211" s="33" t="s">
        <v>413</v>
      </c>
      <c r="C211" s="34" t="s">
        <v>414</v>
      </c>
      <c r="D211" s="28">
        <f t="shared" si="23"/>
        <v>0</v>
      </c>
      <c r="E211" s="102"/>
      <c r="F211" s="102">
        <v>0</v>
      </c>
      <c r="G211" s="102"/>
      <c r="H211" s="102"/>
      <c r="I211" s="102"/>
      <c r="J211" s="102"/>
      <c r="K211" s="102"/>
      <c r="L211" s="102"/>
      <c r="M211" s="102"/>
      <c r="N211" s="30"/>
      <c r="O211" s="31" t="str">
        <f>IF(((E211+F211+G211+H211+I211+J211+K211+L211+M211=0)),"   ","Нужно заполнить пункт 28 текстовой части - о перераспределении полномочий только части муниципальных образований")</f>
        <v xml:space="preserve">   </v>
      </c>
      <c r="P211" s="95"/>
    </row>
    <row r="212" spans="2:16" s="14" customFormat="1" ht="43.2" x14ac:dyDescent="0.3">
      <c r="B212" s="33" t="s">
        <v>415</v>
      </c>
      <c r="C212" s="34" t="s">
        <v>416</v>
      </c>
      <c r="D212" s="103">
        <f t="shared" si="23"/>
        <v>0</v>
      </c>
      <c r="E212" s="104"/>
      <c r="F212" s="105">
        <v>0</v>
      </c>
      <c r="G212" s="105"/>
      <c r="H212" s="105"/>
      <c r="I212" s="105"/>
      <c r="J212" s="105"/>
      <c r="K212" s="105"/>
      <c r="L212" s="105"/>
      <c r="M212" s="106"/>
      <c r="N212" s="43"/>
      <c r="O212" s="31" t="str">
        <f>IF(((D212=0)),"   ","Нужно заполнить пункт 29 текстовой части - об обжаловании перераспределения полномочий")</f>
        <v xml:space="preserve">   </v>
      </c>
      <c r="P212" s="95"/>
    </row>
    <row r="213" spans="2:16" s="14" customFormat="1" ht="72" x14ac:dyDescent="0.3">
      <c r="B213" s="21" t="s">
        <v>417</v>
      </c>
      <c r="C213" s="1" t="s">
        <v>418</v>
      </c>
      <c r="D213" s="28">
        <f>G213</f>
        <v>0</v>
      </c>
      <c r="E213" s="107"/>
      <c r="F213" s="48"/>
      <c r="G213" s="65">
        <f>SUM(G214:G216)</f>
        <v>0</v>
      </c>
      <c r="H213" s="107"/>
      <c r="I213" s="48"/>
      <c r="J213" s="48"/>
      <c r="K213" s="48"/>
      <c r="L213" s="48"/>
      <c r="M213" s="48"/>
      <c r="N213" s="31" t="str">
        <f>IF((G213&lt;=G151),"Выполнено","ПРОВЕРИТЬ (таких сельских поселений не может быть больше общего числа сельских поселений - участников бюджетных правоотношений в соответствующем году)")</f>
        <v>Выполнено</v>
      </c>
      <c r="O213" s="30"/>
      <c r="P213" s="95"/>
    </row>
    <row r="214" spans="2:16" s="14" customFormat="1" ht="28.8" x14ac:dyDescent="0.3">
      <c r="B214" s="33" t="s">
        <v>419</v>
      </c>
      <c r="C214" s="34" t="s">
        <v>420</v>
      </c>
      <c r="D214" s="28">
        <f t="shared" ref="D214:D216" si="30">G214</f>
        <v>0</v>
      </c>
      <c r="E214" s="54"/>
      <c r="F214" s="56"/>
      <c r="G214" s="49"/>
      <c r="H214" s="55"/>
      <c r="I214" s="55"/>
      <c r="J214" s="55"/>
      <c r="K214" s="55"/>
      <c r="L214" s="55"/>
      <c r="M214" s="55"/>
      <c r="N214" s="30"/>
      <c r="O214" s="31" t="str">
        <f>IF(((D214=0)),"   ","Нужно заполнить пункт 30 текстовой части - о дополнительном закреплении вопросов местного значения за сельскими поселениями")</f>
        <v xml:space="preserve">   </v>
      </c>
      <c r="P214" s="52"/>
    </row>
    <row r="215" spans="2:16" s="14" customFormat="1" ht="28.8" x14ac:dyDescent="0.3">
      <c r="B215" s="33" t="s">
        <v>421</v>
      </c>
      <c r="C215" s="34" t="s">
        <v>422</v>
      </c>
      <c r="D215" s="28">
        <f t="shared" si="30"/>
        <v>0</v>
      </c>
      <c r="E215" s="54"/>
      <c r="F215" s="56"/>
      <c r="G215" s="49"/>
      <c r="H215" s="55"/>
      <c r="I215" s="55"/>
      <c r="J215" s="55"/>
      <c r="K215" s="55"/>
      <c r="L215" s="55"/>
      <c r="M215" s="55"/>
      <c r="N215" s="30"/>
      <c r="O215" s="31" t="str">
        <f>IF(((D215=0)),"   ","Нужно заполнить пункт 30 текстовой части - о дополнительном закреплении вопросов местного значения за сельскими поселениями")</f>
        <v xml:space="preserve">   </v>
      </c>
      <c r="P215" s="95"/>
    </row>
    <row r="216" spans="2:16" s="14" customFormat="1" ht="43.2" x14ac:dyDescent="0.3">
      <c r="B216" s="33" t="s">
        <v>423</v>
      </c>
      <c r="C216" s="34" t="s">
        <v>424</v>
      </c>
      <c r="D216" s="28">
        <f t="shared" si="30"/>
        <v>0</v>
      </c>
      <c r="E216" s="57"/>
      <c r="F216" s="58"/>
      <c r="G216" s="49"/>
      <c r="H216" s="55"/>
      <c r="I216" s="55"/>
      <c r="J216" s="55"/>
      <c r="K216" s="55"/>
      <c r="L216" s="55"/>
      <c r="M216" s="55"/>
      <c r="N216" s="30"/>
      <c r="O216" s="31" t="str">
        <f>IF(((D216=0)),"   ","Нужно заполнить пункт 30 текстовой части - о дополнительном закреплении вопросов местного значения за сельскими поселениями")</f>
        <v xml:space="preserve">   </v>
      </c>
      <c r="P216" s="95"/>
    </row>
    <row r="217" spans="2:16" s="14" customFormat="1" ht="72" x14ac:dyDescent="0.3">
      <c r="B217" s="33" t="s">
        <v>425</v>
      </c>
      <c r="C217" s="34" t="s">
        <v>426</v>
      </c>
      <c r="D217" s="28">
        <f>L217</f>
        <v>0</v>
      </c>
      <c r="E217" s="45"/>
      <c r="F217" s="24"/>
      <c r="G217" s="24"/>
      <c r="H217" s="24"/>
      <c r="I217" s="24"/>
      <c r="J217" s="24"/>
      <c r="K217" s="24"/>
      <c r="L217" s="49"/>
      <c r="M217" s="45"/>
      <c r="N217" s="31" t="str">
        <f>IF((L217&lt;=L151),"Выполнено","ПРОВЕРИТЬ (таких внутригородских райнов не может быть больше общего числа внутригородских районов - участников бюджетных правоотношений в соответствующем году)")</f>
        <v>Выполнено</v>
      </c>
      <c r="O217" s="31" t="str">
        <f>IF(((D217=0)),"   ","Нужно заполнить пункт 31 текстовой части - о дополнительном закреплении вопросов местного значения за внутригородскими районами")</f>
        <v xml:space="preserve">   </v>
      </c>
      <c r="P217" s="95"/>
    </row>
    <row r="218" spans="2:16" s="14" customFormat="1" ht="72" x14ac:dyDescent="0.3">
      <c r="B218" s="82" t="s">
        <v>427</v>
      </c>
      <c r="C218" s="1" t="s">
        <v>428</v>
      </c>
      <c r="D218" s="28">
        <f>F218+G218</f>
        <v>2</v>
      </c>
      <c r="E218" s="108"/>
      <c r="F218" s="35">
        <f>F219+F220+F221</f>
        <v>2</v>
      </c>
      <c r="G218" s="35">
        <f>G219+G220+G221</f>
        <v>0</v>
      </c>
      <c r="H218" s="109"/>
      <c r="I218" s="109"/>
      <c r="J218" s="109"/>
      <c r="K218" s="109"/>
      <c r="L218" s="109"/>
      <c r="M218" s="109"/>
      <c r="N218" s="30"/>
      <c r="O218" s="110"/>
      <c r="P218" s="95"/>
    </row>
    <row r="219" spans="2:16" s="14" customFormat="1" ht="28.8" x14ac:dyDescent="0.3">
      <c r="B219" s="82" t="s">
        <v>429</v>
      </c>
      <c r="C219" s="1" t="s">
        <v>430</v>
      </c>
      <c r="D219" s="28">
        <f t="shared" ref="D219:D228" si="31">F219+G219</f>
        <v>0</v>
      </c>
      <c r="E219" s="108"/>
      <c r="F219" s="85"/>
      <c r="G219" s="111"/>
      <c r="H219" s="109"/>
      <c r="I219" s="109"/>
      <c r="J219" s="109"/>
      <c r="K219" s="109"/>
      <c r="L219" s="109"/>
      <c r="M219" s="109"/>
      <c r="N219" s="30"/>
      <c r="O219" s="110"/>
      <c r="P219" s="95"/>
    </row>
    <row r="220" spans="2:16" s="14" customFormat="1" ht="28.8" x14ac:dyDescent="0.3">
      <c r="B220" s="82" t="s">
        <v>431</v>
      </c>
      <c r="C220" s="1" t="s">
        <v>432</v>
      </c>
      <c r="D220" s="28">
        <f t="shared" si="31"/>
        <v>2</v>
      </c>
      <c r="E220" s="108"/>
      <c r="F220" s="85">
        <v>2</v>
      </c>
      <c r="G220" s="111"/>
      <c r="H220" s="109"/>
      <c r="I220" s="109"/>
      <c r="J220" s="109"/>
      <c r="K220" s="109"/>
      <c r="L220" s="109"/>
      <c r="M220" s="109"/>
      <c r="N220" s="30"/>
      <c r="O220" s="110"/>
      <c r="P220" s="95"/>
    </row>
    <row r="221" spans="2:16" s="14" customFormat="1" ht="43.2" x14ac:dyDescent="0.3">
      <c r="B221" s="82" t="s">
        <v>433</v>
      </c>
      <c r="C221" s="1" t="s">
        <v>434</v>
      </c>
      <c r="D221" s="28">
        <f t="shared" si="31"/>
        <v>0</v>
      </c>
      <c r="E221" s="108"/>
      <c r="F221" s="112"/>
      <c r="G221" s="112"/>
      <c r="H221" s="109"/>
      <c r="I221" s="109"/>
      <c r="J221" s="109"/>
      <c r="K221" s="109"/>
      <c r="L221" s="109"/>
      <c r="M221" s="109"/>
      <c r="N221" s="30"/>
      <c r="O221" s="110"/>
      <c r="P221" s="95"/>
    </row>
    <row r="222" spans="2:16" s="14" customFormat="1" ht="57.6" x14ac:dyDescent="0.3">
      <c r="B222" s="33" t="s">
        <v>435</v>
      </c>
      <c r="C222" s="34" t="s">
        <v>436</v>
      </c>
      <c r="D222" s="28">
        <f t="shared" ref="D222" si="32">E222</f>
        <v>0</v>
      </c>
      <c r="E222" s="49"/>
      <c r="F222" s="109">
        <v>0</v>
      </c>
      <c r="G222" s="109"/>
      <c r="H222" s="109"/>
      <c r="I222" s="109"/>
      <c r="J222" s="109"/>
      <c r="K222" s="109"/>
      <c r="L222" s="109"/>
      <c r="M222" s="109"/>
      <c r="N222" s="31" t="str">
        <f>IF((E222&lt;=E$151),"Выполнено","ПРОВЕРИТЬ (таких муниципальных районов не может быть больше общего числа муниципальных районов - участников бюджетных правоотношений в соответствующем году)")</f>
        <v>Выполнено</v>
      </c>
      <c r="O222" s="31" t="str">
        <f>IF(((D222=0)),"   ","Нужно заполнить пункт 32 текстовой части - о взаимной передаче полномочий между районами и поселениями по соглашениям поселениями")</f>
        <v xml:space="preserve">   </v>
      </c>
      <c r="P222" s="95"/>
    </row>
    <row r="223" spans="2:16" s="14" customFormat="1" ht="57.6" x14ac:dyDescent="0.3">
      <c r="B223" s="82" t="s">
        <v>437</v>
      </c>
      <c r="C223" s="1" t="s">
        <v>438</v>
      </c>
      <c r="D223" s="28">
        <f t="shared" si="31"/>
        <v>0</v>
      </c>
      <c r="E223" s="108"/>
      <c r="F223" s="85">
        <v>0</v>
      </c>
      <c r="G223" s="111"/>
      <c r="H223" s="109"/>
      <c r="I223" s="109"/>
      <c r="J223" s="109"/>
      <c r="K223" s="109"/>
      <c r="L223" s="109"/>
      <c r="M223" s="109"/>
      <c r="N223" s="31" t="str">
        <f>IF((D223&lt;=D$151)*AND(F223&lt;=F$151)*AND(G223&lt;=G$151),"Выполнено","ПРОВЕРИТЬ (таких поселений не может быть больше общего числа поселений - участников бюджетных правоотношений в соответствующем году)")</f>
        <v>Выполнено</v>
      </c>
      <c r="O223" s="110"/>
      <c r="P223" s="95"/>
    </row>
    <row r="224" spans="2:16" s="14" customFormat="1" ht="43.2" x14ac:dyDescent="0.3">
      <c r="B224" s="33" t="s">
        <v>439</v>
      </c>
      <c r="C224" s="34" t="s">
        <v>440</v>
      </c>
      <c r="D224" s="28">
        <f t="shared" ref="D224" si="33">E224</f>
        <v>0</v>
      </c>
      <c r="E224" s="49"/>
      <c r="F224" s="109">
        <v>1</v>
      </c>
      <c r="G224" s="109"/>
      <c r="H224" s="109"/>
      <c r="I224" s="109"/>
      <c r="J224" s="109"/>
      <c r="K224" s="109"/>
      <c r="L224" s="109"/>
      <c r="M224" s="109"/>
      <c r="N224" s="31" t="str">
        <f>IF((E224&lt;=E$151),"Выполнено","ПРОВЕРИТЬ (таких муниципальных районов не может быть больше общего числа муниципальных районов - участников бюджетных правоотношений в соответствующем году)")</f>
        <v>Выполнено</v>
      </c>
      <c r="O224" s="31" t="str">
        <f>IF(((D224=0)),"   ","Нужно заполнить пункт 32 текстовой части - о взаимной передаче полномочий между районами и поселениями по соглашениям поселениями")</f>
        <v xml:space="preserve">   </v>
      </c>
      <c r="P224" s="95"/>
    </row>
    <row r="225" spans="2:16" s="14" customFormat="1" ht="57.6" x14ac:dyDescent="0.3">
      <c r="B225" s="82" t="s">
        <v>441</v>
      </c>
      <c r="C225" s="1" t="s">
        <v>442</v>
      </c>
      <c r="D225" s="28">
        <f t="shared" si="31"/>
        <v>1</v>
      </c>
      <c r="E225" s="108"/>
      <c r="F225" s="85">
        <v>1</v>
      </c>
      <c r="G225" s="111"/>
      <c r="H225" s="109"/>
      <c r="I225" s="109"/>
      <c r="J225" s="109"/>
      <c r="K225" s="109"/>
      <c r="L225" s="109"/>
      <c r="M225" s="109"/>
      <c r="N225" s="31" t="str">
        <f>IF((D225&lt;=D$151)*AND(F225&lt;=F$151)*AND(G225&lt;=G$151),"Выполнено","ПРОВЕРИТЬ (таких поселений не может быть больше общего числа поселений - участников бюджетных правоотношений в соответствующем году)")</f>
        <v>Выполнено</v>
      </c>
      <c r="O225" s="110"/>
      <c r="P225" s="95"/>
    </row>
    <row r="226" spans="2:16" s="14" customFormat="1" ht="28.8" x14ac:dyDescent="0.3">
      <c r="B226" s="33" t="s">
        <v>443</v>
      </c>
      <c r="C226" s="34" t="s">
        <v>444</v>
      </c>
      <c r="D226" s="28">
        <f t="shared" si="31"/>
        <v>0</v>
      </c>
      <c r="E226" s="108"/>
      <c r="F226" s="84">
        <v>0</v>
      </c>
      <c r="G226" s="113"/>
      <c r="H226" s="109"/>
      <c r="I226" s="109"/>
      <c r="J226" s="109"/>
      <c r="K226" s="109"/>
      <c r="L226" s="109"/>
      <c r="M226" s="109"/>
      <c r="N226" s="31" t="str">
        <f>IF((D226&lt;=D$225)*AND(F226&lt;=F$225)*AND(G226&lt;=G$225),"Выполнено","ПРОВЕРИТЬ (таких поселений не может быть больше чем поселений, отдавших районам часть полномочий, обозначенных в строке 10.9)")</f>
        <v>Выполнено</v>
      </c>
      <c r="O226" s="31" t="str">
        <f>IF(((D226=0)),"   ","Нужно заполнить пункт 33 текстовой части - о поселениях, передавших району основные бюджетные полномочия")</f>
        <v xml:space="preserve">   </v>
      </c>
      <c r="P226" s="95"/>
    </row>
    <row r="227" spans="2:16" s="14" customFormat="1" ht="28.8" x14ac:dyDescent="0.3">
      <c r="B227" s="82" t="s">
        <v>445</v>
      </c>
      <c r="C227" s="1" t="s">
        <v>446</v>
      </c>
      <c r="D227" s="28">
        <f t="shared" si="31"/>
        <v>0</v>
      </c>
      <c r="E227" s="108"/>
      <c r="F227" s="53">
        <v>0</v>
      </c>
      <c r="G227" s="53"/>
      <c r="H227" s="109"/>
      <c r="I227" s="109"/>
      <c r="J227" s="109"/>
      <c r="K227" s="109"/>
      <c r="L227" s="109"/>
      <c r="M227" s="109"/>
      <c r="N227" s="31" t="str">
        <f>IF((D227&lt;=D$225)*AND(F227&lt;=F$225)*AND(G227&lt;=G$225),"Выполнено","ПРОВЕРИТЬ (таких поселений не может быть больше чем поселений, отдавших районам часть полномочий, обозначенных в строке 10.9)")</f>
        <v>Выполнено</v>
      </c>
      <c r="O227" s="110"/>
      <c r="P227" s="95"/>
    </row>
    <row r="228" spans="2:16" s="14" customFormat="1" ht="28.8" x14ac:dyDescent="0.3">
      <c r="B228" s="33" t="s">
        <v>447</v>
      </c>
      <c r="C228" s="34" t="s">
        <v>448</v>
      </c>
      <c r="D228" s="28">
        <f t="shared" si="31"/>
        <v>0</v>
      </c>
      <c r="E228" s="108"/>
      <c r="F228" s="49">
        <v>0</v>
      </c>
      <c r="G228" s="49"/>
      <c r="H228" s="109"/>
      <c r="I228" s="109"/>
      <c r="J228" s="109"/>
      <c r="K228" s="109"/>
      <c r="L228" s="109"/>
      <c r="M228" s="109"/>
      <c r="N228" s="31" t="str">
        <f>IF((D228&lt;=D$225)*AND(F228&lt;=F$225)*AND(G228&lt;=G$225),"Выполнено","ПРОВЕРИТЬ (таких поселений не может быть больше чем поселений, отдавших районам часть полномочий, обозначенных в строке 10.9)")</f>
        <v>Выполнено</v>
      </c>
      <c r="O228" s="31" t="str">
        <f>IF(((D228=0)),"   ","Нужно заполнить пункт 33 текстовой части - о поселениях, передавших району все полномочия")</f>
        <v xml:space="preserve">   </v>
      </c>
      <c r="P228" s="95"/>
    </row>
    <row r="229" spans="2:16" s="14" customFormat="1" ht="43.2" x14ac:dyDescent="0.3">
      <c r="B229" s="33" t="s">
        <v>449</v>
      </c>
      <c r="C229" s="34" t="s">
        <v>450</v>
      </c>
      <c r="D229" s="28">
        <f>SUM(E229:I229)+K229</f>
        <v>1</v>
      </c>
      <c r="E229" s="49"/>
      <c r="F229" s="49">
        <v>1</v>
      </c>
      <c r="G229" s="49"/>
      <c r="H229" s="49"/>
      <c r="I229" s="49"/>
      <c r="J229" s="49"/>
      <c r="K229" s="49"/>
      <c r="L229" s="45"/>
      <c r="M229" s="24"/>
      <c r="N229" s="30"/>
      <c r="O229" s="31" t="str">
        <f>IF(((D229=0)),"   ","Нужно заполнить пункт 34 текстовой части - о совершении нотариальных действий органами местного самоуправления")</f>
        <v>Нужно заполнить пункт 34 текстовой части - о совершении нотариальных действий органами местного самоуправления</v>
      </c>
      <c r="P229" s="114"/>
    </row>
    <row r="230" spans="2:16" s="14" customFormat="1" ht="100.8" x14ac:dyDescent="0.3">
      <c r="B230" s="115" t="s">
        <v>451</v>
      </c>
      <c r="C230" s="1" t="s">
        <v>452</v>
      </c>
      <c r="D230" s="28">
        <f t="shared" ref="D230:D243" si="34">SUM(E230:I230)+SUM(K230:M230)</f>
        <v>0</v>
      </c>
      <c r="E230" s="29"/>
      <c r="F230" s="29"/>
      <c r="G230" s="29"/>
      <c r="H230" s="29"/>
      <c r="I230" s="29"/>
      <c r="J230" s="29"/>
      <c r="K230" s="29"/>
      <c r="L230" s="29"/>
      <c r="M230" s="29"/>
      <c r="N230" s="31" t="str">
        <f>IF((D230&lt;=D151)*AND(E230&lt;=E151)*AND(F230&lt;=F151)*AND(G230&lt;=G151)*AND(H230&lt;=H151)*AND(I230&lt;=I151)*AND(K230&lt;=K151)*AND(L230&lt;=L151)*AND(M230&lt;=M151)*AND(J230&lt;=J151),"Выполнено","ПРОВЕРИТЬ (такими участниками могли быть только муниципалитеты - субъекты бюджетных правоотношений в соответствующем финансовом году)
)")</f>
        <v>Выполнено</v>
      </c>
      <c r="O230" s="30"/>
      <c r="P230" s="95"/>
    </row>
    <row r="231" spans="2:16" s="14" customFormat="1" x14ac:dyDescent="0.3">
      <c r="B231" s="21" t="s">
        <v>453</v>
      </c>
      <c r="C231" s="1" t="s">
        <v>454</v>
      </c>
      <c r="D231" s="28">
        <f t="shared" si="34"/>
        <v>0</v>
      </c>
      <c r="E231" s="29"/>
      <c r="F231" s="29"/>
      <c r="G231" s="29"/>
      <c r="H231" s="29"/>
      <c r="I231" s="29"/>
      <c r="J231" s="29"/>
      <c r="K231" s="29"/>
      <c r="L231" s="29"/>
      <c r="M231" s="29"/>
      <c r="N231" s="31" t="str">
        <f>IF((D231&lt;=D230)*AND(E231&lt;=E230)*AND(F231&lt;=F230)*AND(G231&lt;=G230)*AND(H231&lt;=H230)*AND(I231&lt;=I230)*AND(K231&lt;=K230)*AND(L231&lt;=L230)*AND(M231&lt;=M230)*AND(J231&lt;=J230),"Выполнено","ПРОВЕРИТЬ (эта подстрока не может быть больше 10.12)
)")</f>
        <v>Выполнено</v>
      </c>
      <c r="O231" s="30"/>
      <c r="P231" s="95"/>
    </row>
    <row r="232" spans="2:16" s="14" customFormat="1" x14ac:dyDescent="0.3">
      <c r="B232" s="21" t="s">
        <v>455</v>
      </c>
      <c r="C232" s="1" t="s">
        <v>456</v>
      </c>
      <c r="D232" s="28">
        <f t="shared" si="34"/>
        <v>0</v>
      </c>
      <c r="E232" s="29"/>
      <c r="F232" s="29"/>
      <c r="G232" s="29"/>
      <c r="H232" s="29"/>
      <c r="I232" s="29"/>
      <c r="J232" s="29"/>
      <c r="K232" s="29"/>
      <c r="L232" s="29"/>
      <c r="M232" s="29"/>
      <c r="N232" s="31" t="str">
        <f>IF((D232&lt;=D230)*AND(E232&lt;=E230)*AND(F232&lt;=F230)*AND(G232&lt;=G230)*AND(H232&lt;=H230)*AND(I232&lt;=I230)*AND(K232&lt;=K230)*AND(L232&lt;=L230)*AND(M232&lt;=M230)*AND(J232&lt;=J230),"Выполнено","ПРОВЕРИТЬ (эта подстрока не может быть больше 10.12)
)")</f>
        <v>Выполнено</v>
      </c>
      <c r="O232" s="30"/>
      <c r="P232" s="95"/>
    </row>
    <row r="233" spans="2:16" x14ac:dyDescent="0.3">
      <c r="B233" s="21" t="s">
        <v>457</v>
      </c>
      <c r="C233" s="1" t="s">
        <v>458</v>
      </c>
      <c r="D233" s="28">
        <f t="shared" si="34"/>
        <v>0</v>
      </c>
      <c r="E233" s="29"/>
      <c r="F233" s="29"/>
      <c r="G233" s="29"/>
      <c r="H233" s="29"/>
      <c r="I233" s="29"/>
      <c r="J233" s="29"/>
      <c r="K233" s="29"/>
      <c r="L233" s="29"/>
      <c r="M233" s="29"/>
      <c r="N233" s="31" t="str">
        <f>IF((D233&lt;=D230)*AND(E233&lt;=E230)*AND(F233&lt;=F230)*AND(G233&lt;=G230)*AND(H233&lt;=H230)*AND(I233&lt;=I230)*AND(K233&lt;=K230)*AND(L233&lt;=L230)*AND(M233&lt;=M230)*AND(J233&lt;=J230),"Выполнено","ПРОВЕРИТЬ (эта подстрока не может быть больше 10.12)
)")</f>
        <v>Выполнено</v>
      </c>
      <c r="O233" s="30"/>
      <c r="P233" s="90"/>
    </row>
    <row r="234" spans="2:16" x14ac:dyDescent="0.3">
      <c r="B234" s="21" t="s">
        <v>459</v>
      </c>
      <c r="C234" s="1" t="s">
        <v>460</v>
      </c>
      <c r="D234" s="28">
        <f t="shared" si="34"/>
        <v>1</v>
      </c>
      <c r="E234" s="29"/>
      <c r="F234" s="29">
        <v>1</v>
      </c>
      <c r="G234" s="29">
        <v>0</v>
      </c>
      <c r="H234" s="29"/>
      <c r="I234" s="29"/>
      <c r="J234" s="29"/>
      <c r="K234" s="29"/>
      <c r="L234" s="29"/>
      <c r="M234" s="29"/>
      <c r="N234" s="31" t="str">
        <f>IF((D234&lt;=D230)*AND(E234&lt;=E230)*AND(F234&lt;=F230)*AND(G234&lt;=G230)*AND(H234&lt;=H230)*AND(I234&lt;=I230)*AND(K234&lt;=K230)*AND(L234&lt;=L230)*AND(M234&lt;=M230)*AND(J234&lt;=J230),"Выполнено","ПРОВЕРИТЬ (эта подстрока не может быть больше 10.12)
)")</f>
        <v>ПРОВЕРИТЬ (эта подстрока не может быть больше 10.12)
)</v>
      </c>
      <c r="O234" s="30"/>
      <c r="P234" s="52"/>
    </row>
    <row r="235" spans="2:16" x14ac:dyDescent="0.3">
      <c r="B235" s="21" t="s">
        <v>461</v>
      </c>
      <c r="C235" s="1" t="s">
        <v>462</v>
      </c>
      <c r="D235" s="28">
        <f t="shared" si="34"/>
        <v>0</v>
      </c>
      <c r="E235" s="29"/>
      <c r="F235" s="29"/>
      <c r="G235" s="29"/>
      <c r="H235" s="29"/>
      <c r="I235" s="29"/>
      <c r="J235" s="29"/>
      <c r="K235" s="29"/>
      <c r="L235" s="29"/>
      <c r="M235" s="29"/>
      <c r="N235" s="31" t="str">
        <f>IF((D235&lt;=D230)*AND(E235&lt;=E230)*AND(F235&lt;=F230)*AND(G235&lt;=G230)*AND(H235&lt;=H230)*AND(I235&lt;=I230)*AND(K235&lt;=K230)*AND(L235&lt;=L230)*AND(M235&lt;=M230)*AND(J235&lt;=J230),"Выполнено","ПРОВЕРИТЬ (эта подстрока не может быть больше 10.12)
)")</f>
        <v>Выполнено</v>
      </c>
      <c r="O235" s="30"/>
      <c r="P235" s="52"/>
    </row>
    <row r="236" spans="2:16" x14ac:dyDescent="0.3">
      <c r="B236" s="21" t="s">
        <v>463</v>
      </c>
      <c r="C236" s="1" t="s">
        <v>464</v>
      </c>
      <c r="D236" s="28">
        <f t="shared" si="34"/>
        <v>0</v>
      </c>
      <c r="E236" s="29"/>
      <c r="F236" s="29"/>
      <c r="G236" s="29"/>
      <c r="H236" s="29"/>
      <c r="I236" s="29"/>
      <c r="J236" s="29"/>
      <c r="K236" s="29"/>
      <c r="L236" s="29"/>
      <c r="M236" s="29"/>
      <c r="N236" s="31" t="str">
        <f>IF((D236&lt;=D230)*AND(E236&lt;=E230)*AND(F236&lt;=F230)*AND(G236&lt;=G230)*AND(H236&lt;=H230)*AND(I236&lt;=I230)*AND(K236&lt;=K230)*AND(L236&lt;=L230)*AND(M236&lt;=M230)*AND(J236&lt;=J230),"Выполнено","ПРОВЕРИТЬ (эта подстрока не может быть больше 10.12)
)")</f>
        <v>Выполнено</v>
      </c>
      <c r="O236" s="30"/>
      <c r="P236" s="52"/>
    </row>
    <row r="237" spans="2:16" x14ac:dyDescent="0.3">
      <c r="B237" s="21" t="s">
        <v>465</v>
      </c>
      <c r="C237" s="1" t="s">
        <v>466</v>
      </c>
      <c r="D237" s="28">
        <f t="shared" si="34"/>
        <v>0</v>
      </c>
      <c r="E237" s="29"/>
      <c r="F237" s="29"/>
      <c r="G237" s="29"/>
      <c r="H237" s="29"/>
      <c r="I237" s="29"/>
      <c r="J237" s="29"/>
      <c r="K237" s="29"/>
      <c r="L237" s="29"/>
      <c r="M237" s="29"/>
      <c r="N237" s="31" t="str">
        <f>IF((D237&lt;=D230)*AND(E237&lt;=E230)*AND(F237&lt;=F230)*AND(G237&lt;=G230)*AND(H237&lt;=H230)*AND(I237&lt;=I230)*AND(K237&lt;=K230)*AND(L237&lt;=L230)*AND(M237&lt;=M230)*AND(J237&lt;=J230),"Выполнено","ПРОВЕРИТЬ (эта подстрока не может быть больше 10.12)
)")</f>
        <v>Выполнено</v>
      </c>
      <c r="O237" s="30"/>
      <c r="P237" s="52"/>
    </row>
    <row r="238" spans="2:16" x14ac:dyDescent="0.3">
      <c r="B238" s="116" t="s">
        <v>467</v>
      </c>
      <c r="C238" s="1" t="s">
        <v>468</v>
      </c>
      <c r="D238" s="28">
        <f t="shared" si="34"/>
        <v>0</v>
      </c>
      <c r="E238" s="29"/>
      <c r="F238" s="29"/>
      <c r="G238" s="29"/>
      <c r="H238" s="29"/>
      <c r="I238" s="29"/>
      <c r="J238" s="29"/>
      <c r="K238" s="29"/>
      <c r="L238" s="29"/>
      <c r="M238" s="29"/>
      <c r="N238" s="31" t="str">
        <f>IF((D238&lt;=D230)*AND(E238&lt;=E230)*AND(F238&lt;=F230)*AND(G238&lt;=G230)*AND(H238&lt;=H230)*AND(I238&lt;=I230)*AND(K238&lt;=K230)*AND(L238&lt;=L230)*AND(M238&lt;=M230)*AND(J238&lt;=J230),"Выполнено","ПРОВЕРИТЬ (эта подстрока не может быть больше 10.12)
)")</f>
        <v>Выполнено</v>
      </c>
      <c r="O238" s="30"/>
      <c r="P238" s="52"/>
    </row>
    <row r="239" spans="2:16" x14ac:dyDescent="0.3">
      <c r="B239" s="21" t="s">
        <v>469</v>
      </c>
      <c r="C239" s="1" t="s">
        <v>470</v>
      </c>
      <c r="D239" s="28">
        <f t="shared" si="34"/>
        <v>0</v>
      </c>
      <c r="E239" s="29"/>
      <c r="F239" s="29"/>
      <c r="G239" s="29"/>
      <c r="H239" s="29"/>
      <c r="I239" s="29"/>
      <c r="J239" s="29"/>
      <c r="K239" s="29"/>
      <c r="L239" s="29"/>
      <c r="M239" s="29"/>
      <c r="N239" s="31" t="str">
        <f>IF((D239&lt;=D230)*AND(E239&lt;=E230)*AND(F239&lt;=F230)*AND(G239&lt;=G230)*AND(H239&lt;=H230)*AND(I239&lt;=I230)*AND(K239&lt;=K230)*AND(L239&lt;=L230)*AND(M239&lt;=M230)*AND(J239&lt;=J230),"Выполнено","ПРОВЕРИТЬ (эта подстрока не может быть больше 10.12)
)")</f>
        <v>Выполнено</v>
      </c>
      <c r="O239" s="30"/>
      <c r="P239" s="81"/>
    </row>
    <row r="240" spans="2:16" x14ac:dyDescent="0.3">
      <c r="B240" s="21" t="s">
        <v>471</v>
      </c>
      <c r="C240" s="1" t="s">
        <v>472</v>
      </c>
      <c r="D240" s="28">
        <f t="shared" si="34"/>
        <v>0</v>
      </c>
      <c r="E240" s="29"/>
      <c r="F240" s="29"/>
      <c r="G240" s="29"/>
      <c r="H240" s="29"/>
      <c r="I240" s="29"/>
      <c r="J240" s="29"/>
      <c r="K240" s="29"/>
      <c r="L240" s="29"/>
      <c r="M240" s="29"/>
      <c r="N240" s="31" t="str">
        <f>IF((D240&lt;=D230)*AND(E240&lt;=E230)*AND(F240&lt;=F230)*AND(G240&lt;=G230)*AND(H240&lt;=H230)*AND(I240&lt;=I230)*AND(K240&lt;=K230)*AND(L240&lt;=L230)*AND(M240&lt;=M230)*AND(J240&lt;=J230),"Выполнено","ПРОВЕРИТЬ (эта подстрока не может быть больше 10.12)
)")</f>
        <v>Выполнено</v>
      </c>
      <c r="O240" s="30"/>
      <c r="P240" s="52"/>
    </row>
    <row r="241" spans="2:16" ht="28.8" x14ac:dyDescent="0.3">
      <c r="B241" s="21" t="s">
        <v>473</v>
      </c>
      <c r="C241" s="1" t="s">
        <v>474</v>
      </c>
      <c r="D241" s="28">
        <f t="shared" si="34"/>
        <v>0</v>
      </c>
      <c r="E241" s="29"/>
      <c r="F241" s="29"/>
      <c r="G241" s="29"/>
      <c r="H241" s="29"/>
      <c r="I241" s="29"/>
      <c r="J241" s="29"/>
      <c r="K241" s="29"/>
      <c r="L241" s="29"/>
      <c r="M241" s="29"/>
      <c r="N241" s="31" t="str">
        <f>IF((D241&lt;=D230)*AND(E241&lt;=E230)*AND(F241&lt;=F230)*AND(G241&lt;=G230)*AND(H241&lt;=H230)*AND(I241&lt;=I230)*AND(K241&lt;=K230)*AND(L241&lt;=L230)*AND(M241&lt;=M230)*AND(J241&lt;=J230),"Выполнено","ПРОВЕРИТЬ (эта подстрока не может быть больше 10.12)
)")</f>
        <v>Выполнено</v>
      </c>
      <c r="O241" s="30"/>
      <c r="P241" s="52"/>
    </row>
    <row r="242" spans="2:16" x14ac:dyDescent="0.3">
      <c r="B242" s="21" t="s">
        <v>475</v>
      </c>
      <c r="C242" s="1" t="s">
        <v>476</v>
      </c>
      <c r="D242" s="28">
        <f t="shared" si="34"/>
        <v>0</v>
      </c>
      <c r="E242" s="29"/>
      <c r="F242" s="29"/>
      <c r="G242" s="29"/>
      <c r="H242" s="29"/>
      <c r="I242" s="29"/>
      <c r="J242" s="29"/>
      <c r="K242" s="29"/>
      <c r="L242" s="29"/>
      <c r="M242" s="29"/>
      <c r="N242" s="31" t="str">
        <f>IF((D242&lt;=D230)*AND(E242&lt;=E230)*AND(F242&lt;=F230)*AND(G242&lt;=G230)*AND(H242&lt;=H230)*AND(I242&lt;=I230)*AND(K242&lt;=K230)*AND(L242&lt;=L230)*AND(M242&lt;=M230)*AND(J242&lt;=J230),"Выполнено","ПРОВЕРИТЬ (эта подстрока не может быть больше 10.12)
)")</f>
        <v>Выполнено</v>
      </c>
      <c r="O242" s="30"/>
      <c r="P242" s="52"/>
    </row>
    <row r="243" spans="2:16" ht="57.6" x14ac:dyDescent="0.3">
      <c r="B243" s="33" t="s">
        <v>477</v>
      </c>
      <c r="C243" s="34" t="s">
        <v>478</v>
      </c>
      <c r="D243" s="28">
        <f t="shared" si="34"/>
        <v>0</v>
      </c>
      <c r="E243" s="49"/>
      <c r="F243" s="49"/>
      <c r="G243" s="49"/>
      <c r="H243" s="49"/>
      <c r="I243" s="49"/>
      <c r="J243" s="49"/>
      <c r="K243" s="49"/>
      <c r="L243" s="49"/>
      <c r="M243" s="117"/>
      <c r="N243" s="30"/>
      <c r="O243" s="31" t="str">
        <f>IF(((D243=0)),"   ","Нужно заполнить пункт 35 текстовой части - об опережающем правовом регулировании")</f>
        <v xml:space="preserve">   </v>
      </c>
      <c r="P243" s="52"/>
    </row>
    <row r="244" spans="2:16" ht="28.8" x14ac:dyDescent="0.3">
      <c r="B244" s="93" t="s">
        <v>479</v>
      </c>
      <c r="C244" s="22" t="s">
        <v>480</v>
      </c>
      <c r="D244" s="23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5"/>
      <c r="P244" s="52"/>
    </row>
    <row r="245" spans="2:16" ht="43.2" hidden="1" x14ac:dyDescent="0.3">
      <c r="B245" s="21" t="s">
        <v>481</v>
      </c>
      <c r="C245" s="1" t="s">
        <v>482</v>
      </c>
      <c r="D245" s="23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5"/>
      <c r="P245" s="52"/>
    </row>
    <row r="246" spans="2:16" ht="28.8" hidden="1" x14ac:dyDescent="0.3">
      <c r="B246" s="33" t="s">
        <v>483</v>
      </c>
      <c r="C246" s="34" t="s">
        <v>484</v>
      </c>
      <c r="D246" s="28">
        <f t="shared" ref="D246:D253" si="35">E246+K246</f>
        <v>1</v>
      </c>
      <c r="E246" s="50">
        <f>SUM(E247:E250)</f>
        <v>1</v>
      </c>
      <c r="F246" s="59"/>
      <c r="G246" s="60"/>
      <c r="H246" s="60"/>
      <c r="I246" s="55"/>
      <c r="J246" s="55"/>
      <c r="K246" s="50">
        <f>SUM(K247:K250)</f>
        <v>0</v>
      </c>
      <c r="L246" s="59"/>
      <c r="M246" s="60"/>
      <c r="N246" s="31" t="str">
        <f>IF((E246=E$10)*AND(K246=K$10),"Выполнено","ПРОВЕРИТЬ (во всех муниципальных районах и городских округах с делением должен быть определен порядок формирования представительного органа)")</f>
        <v>Выполнено</v>
      </c>
      <c r="O246" s="31" t="str">
        <f>IF(((E246+K246=0)),"   ","Нужно заполнить пункт 36 текстовой части - о способах формирования представительных органов муниципальных районов и городских округах с делением")</f>
        <v>Нужно заполнить пункт 36 текстовой части - о способах формирования представительных органов муниципальных районов и городских округах с делением</v>
      </c>
      <c r="P246" s="52"/>
    </row>
    <row r="247" spans="2:16" ht="28.8" hidden="1" x14ac:dyDescent="0.3">
      <c r="B247" s="33" t="s">
        <v>485</v>
      </c>
      <c r="C247" s="34" t="s">
        <v>486</v>
      </c>
      <c r="D247" s="28">
        <f t="shared" si="35"/>
        <v>1</v>
      </c>
      <c r="E247" s="118">
        <v>1</v>
      </c>
      <c r="F247" s="54"/>
      <c r="G247" s="55"/>
      <c r="H247" s="55"/>
      <c r="I247" s="55"/>
      <c r="J247" s="55"/>
      <c r="K247" s="118"/>
      <c r="L247" s="54"/>
      <c r="M247" s="55"/>
      <c r="N247" s="30"/>
      <c r="O247" s="30"/>
      <c r="P247" s="80"/>
    </row>
    <row r="248" spans="2:16" ht="28.8" hidden="1" x14ac:dyDescent="0.3">
      <c r="B248" s="33" t="s">
        <v>487</v>
      </c>
      <c r="C248" s="34" t="s">
        <v>488</v>
      </c>
      <c r="D248" s="28">
        <f t="shared" si="35"/>
        <v>0</v>
      </c>
      <c r="E248" s="118"/>
      <c r="F248" s="54"/>
      <c r="G248" s="55"/>
      <c r="H248" s="55"/>
      <c r="I248" s="55"/>
      <c r="J248" s="55"/>
      <c r="K248" s="118"/>
      <c r="L248" s="54"/>
      <c r="M248" s="55"/>
      <c r="N248" s="30"/>
      <c r="O248" s="30"/>
      <c r="P248" s="52"/>
    </row>
    <row r="249" spans="2:16" ht="28.8" hidden="1" x14ac:dyDescent="0.3">
      <c r="B249" s="33" t="s">
        <v>489</v>
      </c>
      <c r="C249" s="34" t="s">
        <v>490</v>
      </c>
      <c r="D249" s="28">
        <f t="shared" si="35"/>
        <v>0</v>
      </c>
      <c r="E249" s="118"/>
      <c r="F249" s="54"/>
      <c r="G249" s="55"/>
      <c r="H249" s="55"/>
      <c r="I249" s="55"/>
      <c r="J249" s="55"/>
      <c r="K249" s="118"/>
      <c r="L249" s="54"/>
      <c r="M249" s="55"/>
      <c r="N249" s="30"/>
      <c r="O249" s="30"/>
      <c r="P249" s="52"/>
    </row>
    <row r="250" spans="2:16" ht="43.2" hidden="1" x14ac:dyDescent="0.3">
      <c r="B250" s="33" t="s">
        <v>491</v>
      </c>
      <c r="C250" s="34" t="s">
        <v>492</v>
      </c>
      <c r="D250" s="28">
        <f t="shared" si="35"/>
        <v>0</v>
      </c>
      <c r="E250" s="118"/>
      <c r="F250" s="54"/>
      <c r="G250" s="55"/>
      <c r="H250" s="55"/>
      <c r="I250" s="55"/>
      <c r="J250" s="55"/>
      <c r="K250" s="118"/>
      <c r="L250" s="54"/>
      <c r="M250" s="55"/>
      <c r="N250" s="30"/>
      <c r="O250" s="30"/>
      <c r="P250" s="52"/>
    </row>
    <row r="251" spans="2:16" ht="28.8" hidden="1" x14ac:dyDescent="0.3">
      <c r="B251" s="33" t="s">
        <v>493</v>
      </c>
      <c r="C251" s="34" t="s">
        <v>494</v>
      </c>
      <c r="D251" s="28">
        <f t="shared" si="35"/>
        <v>1</v>
      </c>
      <c r="E251" s="50">
        <f>SUM(E252:E253)</f>
        <v>1</v>
      </c>
      <c r="F251" s="54"/>
      <c r="G251" s="55"/>
      <c r="H251" s="55"/>
      <c r="I251" s="55"/>
      <c r="J251" s="55"/>
      <c r="K251" s="50">
        <f>SUM(K252:K253)</f>
        <v>0</v>
      </c>
      <c r="L251" s="54"/>
      <c r="M251" s="55"/>
      <c r="N251" s="31" t="str">
        <f>IF((E251=E139)*AND(K251=K139),"Выполнено","ПРОВЕРИТЬ (во всех уставах муниципальных районов и городских округов с делением должен быть определен порядок формирования представительных органов)")</f>
        <v>Выполнено</v>
      </c>
      <c r="O251" s="31" t="str">
        <f>IF(((E251+K251=0)),"   ","Нужно заполнить пункт 36 текстовой части - о способах формирования представительных органов муниципальных районов и городских округах с делением")</f>
        <v>Нужно заполнить пункт 36 текстовой части - о способах формирования представительных органов муниципальных районов и городских округах с делением</v>
      </c>
      <c r="P251" s="80"/>
    </row>
    <row r="252" spans="2:16" hidden="1" x14ac:dyDescent="0.3">
      <c r="B252" s="33" t="s">
        <v>495</v>
      </c>
      <c r="C252" s="34" t="s">
        <v>496</v>
      </c>
      <c r="D252" s="28">
        <f t="shared" si="35"/>
        <v>1</v>
      </c>
      <c r="E252" s="49">
        <v>1</v>
      </c>
      <c r="F252" s="54"/>
      <c r="G252" s="55"/>
      <c r="H252" s="55"/>
      <c r="I252" s="55"/>
      <c r="J252" s="55"/>
      <c r="K252" s="49"/>
      <c r="L252" s="54"/>
      <c r="M252" s="55"/>
      <c r="N252" s="30"/>
      <c r="O252" s="30"/>
      <c r="P252" s="80"/>
    </row>
    <row r="253" spans="2:16" hidden="1" x14ac:dyDescent="0.3">
      <c r="B253" s="33" t="s">
        <v>497</v>
      </c>
      <c r="C253" s="34" t="s">
        <v>498</v>
      </c>
      <c r="D253" s="28">
        <f t="shared" si="35"/>
        <v>0</v>
      </c>
      <c r="E253" s="49"/>
      <c r="F253" s="57"/>
      <c r="G253" s="48"/>
      <c r="H253" s="48"/>
      <c r="I253" s="55"/>
      <c r="J253" s="55"/>
      <c r="K253" s="49"/>
      <c r="L253" s="57"/>
      <c r="M253" s="48"/>
      <c r="N253" s="30"/>
      <c r="O253" s="30"/>
      <c r="P253" s="80"/>
    </row>
    <row r="254" spans="2:16" ht="43.2" hidden="1" x14ac:dyDescent="0.3">
      <c r="B254" s="33" t="s">
        <v>499</v>
      </c>
      <c r="C254" s="34" t="s">
        <v>500</v>
      </c>
      <c r="D254" s="28">
        <f t="shared" ref="D254" si="36">F254+G254</f>
        <v>0</v>
      </c>
      <c r="E254" s="50"/>
      <c r="F254" s="49"/>
      <c r="G254" s="49"/>
      <c r="H254" s="23"/>
      <c r="I254" s="24"/>
      <c r="J254" s="25"/>
      <c r="K254" s="24"/>
      <c r="L254" s="24"/>
      <c r="M254" s="24"/>
      <c r="N254" s="31" t="str">
        <f>IF((F254&lt;=F$10)*AND(G254&lt;=G$10),"Выполнено","ПРОВЕРИТЬ (таких поселений не может быть больше чем всех поселений)")</f>
        <v>Выполнено</v>
      </c>
      <c r="O254" s="31" t="str">
        <f>IF(((D254=0)),"   ","Нужно заполнить пункт 37 текстовой части - о малочисленных поселениях без представительных органов")</f>
        <v xml:space="preserve">   </v>
      </c>
      <c r="P254" s="52"/>
    </row>
    <row r="255" spans="2:16" ht="43.2" hidden="1" x14ac:dyDescent="0.3">
      <c r="B255" s="82" t="s">
        <v>501</v>
      </c>
      <c r="C255" s="1" t="s">
        <v>502</v>
      </c>
      <c r="D255" s="28">
        <f t="shared" ref="D255:D260" si="37">SUM(E255:I255)+SUM(K255:M255)</f>
        <v>19</v>
      </c>
      <c r="E255" s="50">
        <f>E10</f>
        <v>1</v>
      </c>
      <c r="F255" s="50">
        <f>F10-F254</f>
        <v>4</v>
      </c>
      <c r="G255" s="50">
        <f>G10-G254</f>
        <v>14</v>
      </c>
      <c r="H255" s="50">
        <f t="shared" ref="H255:M255" si="38">H10</f>
        <v>0</v>
      </c>
      <c r="I255" s="50">
        <f t="shared" si="38"/>
        <v>0</v>
      </c>
      <c r="J255" s="50">
        <f t="shared" si="38"/>
        <v>0</v>
      </c>
      <c r="K255" s="50">
        <f t="shared" si="38"/>
        <v>0</v>
      </c>
      <c r="L255" s="50">
        <f t="shared" si="38"/>
        <v>0</v>
      </c>
      <c r="M255" s="50">
        <f t="shared" si="38"/>
        <v>0</v>
      </c>
      <c r="N255" s="30"/>
      <c r="O255" s="30"/>
      <c r="P255" s="52"/>
    </row>
    <row r="256" spans="2:16" ht="28.8" hidden="1" x14ac:dyDescent="0.3">
      <c r="B256" s="21" t="s">
        <v>503</v>
      </c>
      <c r="C256" s="1" t="s">
        <v>504</v>
      </c>
      <c r="D256" s="28">
        <f t="shared" si="37"/>
        <v>19</v>
      </c>
      <c r="E256" s="29">
        <v>1</v>
      </c>
      <c r="F256" s="29">
        <v>4</v>
      </c>
      <c r="G256" s="29">
        <v>14</v>
      </c>
      <c r="H256" s="29"/>
      <c r="I256" s="29"/>
      <c r="J256" s="29"/>
      <c r="K256" s="29"/>
      <c r="L256" s="29"/>
      <c r="M256" s="29"/>
      <c r="N256" s="30"/>
      <c r="O256" s="30"/>
      <c r="P256" s="52"/>
    </row>
    <row r="257" spans="2:16" hidden="1" x14ac:dyDescent="0.3">
      <c r="B257" s="33" t="s">
        <v>505</v>
      </c>
      <c r="C257" s="34" t="s">
        <v>506</v>
      </c>
      <c r="D257" s="28">
        <f t="shared" si="37"/>
        <v>19</v>
      </c>
      <c r="E257" s="50">
        <f t="shared" ref="E257:M257" si="39">SUM(E258:E260)</f>
        <v>1</v>
      </c>
      <c r="F257" s="50">
        <f t="shared" si="39"/>
        <v>4</v>
      </c>
      <c r="G257" s="50">
        <f t="shared" si="39"/>
        <v>14</v>
      </c>
      <c r="H257" s="50">
        <f t="shared" si="39"/>
        <v>0</v>
      </c>
      <c r="I257" s="50">
        <f t="shared" si="39"/>
        <v>0</v>
      </c>
      <c r="J257" s="50">
        <f>SUM(J258:J260)</f>
        <v>0</v>
      </c>
      <c r="K257" s="50">
        <f t="shared" si="39"/>
        <v>0</v>
      </c>
      <c r="L257" s="50">
        <f t="shared" si="39"/>
        <v>0</v>
      </c>
      <c r="M257" s="50">
        <f t="shared" si="39"/>
        <v>0</v>
      </c>
      <c r="N257" s="31" t="str">
        <f>IF((F257=F256)*AND(G257=G256)*AND(H257=H256)*AND(I257=I256)*AND(L257=L256)*AND(M257=M256),"Выполнено","ПРОВЕРИТЬ (число избранных на муниципальных выборах представительных органов должно корректно раскладываться по видам избирательных систем)")</f>
        <v>Выполнено</v>
      </c>
      <c r="O257" s="31" t="str">
        <f>IF(((E257-E252=0))*AND(K257-K252=0),"   ","Нужно заполнить пункт 36 текстовой части - о фактически сформированных представительных органах муниципальных районов и городских округах с делением")</f>
        <v xml:space="preserve">   </v>
      </c>
      <c r="P257" s="52"/>
    </row>
    <row r="258" spans="2:16" hidden="1" x14ac:dyDescent="0.3">
      <c r="B258" s="33" t="s">
        <v>507</v>
      </c>
      <c r="C258" s="34" t="s">
        <v>508</v>
      </c>
      <c r="D258" s="28">
        <f t="shared" si="37"/>
        <v>0</v>
      </c>
      <c r="E258" s="49"/>
      <c r="F258" s="49"/>
      <c r="G258" s="49"/>
      <c r="H258" s="49"/>
      <c r="I258" s="49"/>
      <c r="J258" s="49"/>
      <c r="K258" s="49"/>
      <c r="L258" s="49"/>
      <c r="M258" s="49"/>
      <c r="N258" s="30"/>
      <c r="O258" s="31" t="str">
        <f>IF(((D258=0)),"   ","Нужно заполнить пункт 38 текстовой части - о представительных органах, сформированных по пропорциональной системе")</f>
        <v xml:space="preserve">   </v>
      </c>
      <c r="P258" s="52"/>
    </row>
    <row r="259" spans="2:16" ht="28.8" hidden="1" x14ac:dyDescent="0.3">
      <c r="B259" s="21" t="s">
        <v>509</v>
      </c>
      <c r="C259" s="1" t="s">
        <v>510</v>
      </c>
      <c r="D259" s="28">
        <f t="shared" si="37"/>
        <v>19</v>
      </c>
      <c r="E259" s="53">
        <v>1</v>
      </c>
      <c r="F259" s="53">
        <v>4</v>
      </c>
      <c r="G259" s="53">
        <v>14</v>
      </c>
      <c r="H259" s="53"/>
      <c r="I259" s="53"/>
      <c r="J259" s="29"/>
      <c r="K259" s="53"/>
      <c r="L259" s="53"/>
      <c r="M259" s="53"/>
      <c r="N259" s="30"/>
      <c r="O259" s="30"/>
      <c r="P259" s="52"/>
    </row>
    <row r="260" spans="2:16" ht="28.8" hidden="1" x14ac:dyDescent="0.3">
      <c r="B260" s="33" t="s">
        <v>511</v>
      </c>
      <c r="C260" s="34" t="s">
        <v>512</v>
      </c>
      <c r="D260" s="28">
        <f t="shared" si="37"/>
        <v>0</v>
      </c>
      <c r="E260" s="49"/>
      <c r="F260" s="49"/>
      <c r="G260" s="49"/>
      <c r="H260" s="49"/>
      <c r="I260" s="49"/>
      <c r="J260" s="49"/>
      <c r="K260" s="49"/>
      <c r="L260" s="49"/>
      <c r="M260" s="49"/>
      <c r="N260" s="30"/>
      <c r="O260" s="31" t="str">
        <f>IF(((D260=0)),"   ","Нужно заполнить пункт 38 текстовой части - о представительных органах, сформированных по смешанной системе")</f>
        <v xml:space="preserve">   </v>
      </c>
      <c r="P260" s="52"/>
    </row>
    <row r="261" spans="2:16" hidden="1" x14ac:dyDescent="0.3">
      <c r="B261" s="33" t="s">
        <v>513</v>
      </c>
      <c r="C261" s="34" t="s">
        <v>514</v>
      </c>
      <c r="D261" s="28">
        <f t="shared" ref="D261:D263" si="40">E261+K261</f>
        <v>0</v>
      </c>
      <c r="E261" s="50">
        <f>SUM(E262:E263)</f>
        <v>0</v>
      </c>
      <c r="F261" s="54"/>
      <c r="G261" s="55"/>
      <c r="H261" s="54"/>
      <c r="I261" s="55"/>
      <c r="J261" s="55"/>
      <c r="K261" s="50">
        <f>SUM(K262:K263)</f>
        <v>0</v>
      </c>
      <c r="L261" s="54"/>
      <c r="M261" s="55"/>
      <c r="N261" s="31" t="str">
        <f>IF((E256=E257+E261)*AND(K256=K257+K261),"Выполнено","ПРОВЕРИТЬ (число фактически сформированных представительных органов муниципальных районов и городских округов с делением должно корректно раскладываться по способам их формирования)")</f>
        <v>Выполнено</v>
      </c>
      <c r="O261" s="31" t="str">
        <f>IF(((E261-E253=0))*AND(K261-K253=0),"   ","Нужно заполнить пункт 36 текстовой части - о фактически сформированных представительных органах муниципальных районов и городских округах с делением")</f>
        <v xml:space="preserve">   </v>
      </c>
      <c r="P261" s="52"/>
    </row>
    <row r="262" spans="2:16" hidden="1" x14ac:dyDescent="0.3">
      <c r="B262" s="21" t="s">
        <v>515</v>
      </c>
      <c r="C262" s="1" t="s">
        <v>516</v>
      </c>
      <c r="D262" s="28">
        <f t="shared" si="40"/>
        <v>0</v>
      </c>
      <c r="E262" s="29"/>
      <c r="F262" s="54"/>
      <c r="G262" s="55"/>
      <c r="H262" s="54"/>
      <c r="I262" s="55"/>
      <c r="J262" s="55"/>
      <c r="K262" s="29"/>
      <c r="L262" s="54"/>
      <c r="M262" s="55"/>
      <c r="N262" s="30"/>
      <c r="O262" s="30"/>
      <c r="P262" s="52"/>
    </row>
    <row r="263" spans="2:16" ht="28.8" hidden="1" x14ac:dyDescent="0.3">
      <c r="B263" s="21" t="s">
        <v>517</v>
      </c>
      <c r="C263" s="1" t="s">
        <v>518</v>
      </c>
      <c r="D263" s="28">
        <f t="shared" si="40"/>
        <v>0</v>
      </c>
      <c r="E263" s="29"/>
      <c r="F263" s="57"/>
      <c r="G263" s="48"/>
      <c r="H263" s="55"/>
      <c r="I263" s="55"/>
      <c r="J263" s="48"/>
      <c r="K263" s="29"/>
      <c r="L263" s="57"/>
      <c r="M263" s="48"/>
      <c r="N263" s="30"/>
      <c r="O263" s="30"/>
      <c r="P263" s="52"/>
    </row>
    <row r="264" spans="2:16" ht="43.2" hidden="1" x14ac:dyDescent="0.3">
      <c r="B264" s="21" t="s">
        <v>519</v>
      </c>
      <c r="C264" s="1" t="s">
        <v>520</v>
      </c>
      <c r="D264" s="28">
        <f t="shared" ref="D264:D265" si="41">SUM(E264:I264)+SUM(K264:M264)</f>
        <v>19</v>
      </c>
      <c r="E264" s="50">
        <f t="shared" ref="E264:M264" si="42">E265+E266+E267</f>
        <v>1</v>
      </c>
      <c r="F264" s="50">
        <f t="shared" si="42"/>
        <v>4</v>
      </c>
      <c r="G264" s="50">
        <f t="shared" si="42"/>
        <v>14</v>
      </c>
      <c r="H264" s="50">
        <f t="shared" si="42"/>
        <v>0</v>
      </c>
      <c r="I264" s="50">
        <f t="shared" si="42"/>
        <v>0</v>
      </c>
      <c r="J264" s="50">
        <f t="shared" si="42"/>
        <v>0</v>
      </c>
      <c r="K264" s="50">
        <f t="shared" si="42"/>
        <v>0</v>
      </c>
      <c r="L264" s="50">
        <f t="shared" si="42"/>
        <v>0</v>
      </c>
      <c r="M264" s="50">
        <f t="shared" si="42"/>
        <v>0</v>
      </c>
      <c r="N264" s="31" t="str">
        <f>IF((D264=D257)*AND(E264=E257)*AND(F264=F257)*AND(G264=G257)*AND(H264=H257)*AND(I264=I257)*AND(K264=K257)*AND(L264=L257)*AND(M264=M257)*AND(J264=J257),"Выполнено","ПРОВЕРИТЬ - по количеству действующих представительных органов)")</f>
        <v>Выполнено</v>
      </c>
      <c r="O264" s="83"/>
      <c r="P264" s="52"/>
    </row>
    <row r="265" spans="2:16" hidden="1" x14ac:dyDescent="0.3">
      <c r="B265" s="21" t="s">
        <v>521</v>
      </c>
      <c r="C265" s="1" t="s">
        <v>522</v>
      </c>
      <c r="D265" s="28">
        <f t="shared" si="41"/>
        <v>19</v>
      </c>
      <c r="E265" s="29">
        <v>1</v>
      </c>
      <c r="F265" s="29">
        <v>4</v>
      </c>
      <c r="G265" s="29">
        <v>14</v>
      </c>
      <c r="H265" s="29"/>
      <c r="I265" s="29"/>
      <c r="J265" s="29"/>
      <c r="K265" s="29"/>
      <c r="L265" s="29"/>
      <c r="M265" s="29"/>
      <c r="N265" s="30"/>
      <c r="O265" s="30"/>
      <c r="P265" s="52"/>
    </row>
    <row r="266" spans="2:16" hidden="1" x14ac:dyDescent="0.3">
      <c r="B266" s="21" t="s">
        <v>523</v>
      </c>
      <c r="C266" s="1" t="s">
        <v>524</v>
      </c>
      <c r="D266" s="28">
        <f>SUM(E266:I266)+SUM(K266:M266)</f>
        <v>0</v>
      </c>
      <c r="E266" s="29"/>
      <c r="F266" s="29"/>
      <c r="G266" s="29"/>
      <c r="H266" s="29"/>
      <c r="I266" s="29"/>
      <c r="J266" s="29"/>
      <c r="K266" s="29"/>
      <c r="L266" s="29"/>
      <c r="M266" s="29"/>
      <c r="N266" s="30"/>
      <c r="O266" s="30"/>
      <c r="P266" s="52"/>
    </row>
    <row r="267" spans="2:16" hidden="1" x14ac:dyDescent="0.3">
      <c r="B267" s="21" t="s">
        <v>525</v>
      </c>
      <c r="C267" s="1" t="s">
        <v>526</v>
      </c>
      <c r="D267" s="28">
        <f>SUM(E267:I267)+SUM(K267:M267)</f>
        <v>0</v>
      </c>
      <c r="E267" s="29"/>
      <c r="F267" s="29"/>
      <c r="G267" s="29"/>
      <c r="H267" s="29"/>
      <c r="I267" s="29"/>
      <c r="J267" s="29"/>
      <c r="K267" s="29"/>
      <c r="L267" s="29"/>
      <c r="M267" s="29"/>
      <c r="N267" s="30"/>
      <c r="O267" s="30"/>
      <c r="P267" s="52"/>
    </row>
    <row r="268" spans="2:16" ht="28.8" hidden="1" x14ac:dyDescent="0.3">
      <c r="B268" s="21" t="s">
        <v>527</v>
      </c>
      <c r="C268" s="1" t="s">
        <v>528</v>
      </c>
      <c r="D268" s="28">
        <f t="shared" ref="D268:D271" si="43">E268+K268</f>
        <v>0</v>
      </c>
      <c r="E268" s="65">
        <f>E269+E270+E271</f>
        <v>0</v>
      </c>
      <c r="F268" s="119"/>
      <c r="G268" s="56"/>
      <c r="H268" s="119"/>
      <c r="I268" s="55"/>
      <c r="J268" s="55"/>
      <c r="K268" s="65">
        <f t="shared" ref="K268" si="44">K269+K270+K271</f>
        <v>0</v>
      </c>
      <c r="L268" s="119"/>
      <c r="M268" s="56"/>
      <c r="N268" s="31" t="str">
        <f>IF((D268=D261)*AND(E268=E261)*AND(K268=K261)*AND(K268=K261),"Выполнено","ПРОВЕРИТЬ - по количеству действующих представительных органов)")</f>
        <v>Выполнено</v>
      </c>
      <c r="O268" s="83"/>
      <c r="P268" s="52"/>
    </row>
    <row r="269" spans="2:16" hidden="1" x14ac:dyDescent="0.3">
      <c r="B269" s="21" t="s">
        <v>529</v>
      </c>
      <c r="C269" s="1" t="s">
        <v>522</v>
      </c>
      <c r="D269" s="28">
        <f t="shared" si="43"/>
        <v>0</v>
      </c>
      <c r="E269" s="29"/>
      <c r="F269" s="54"/>
      <c r="G269" s="55"/>
      <c r="H269" s="54"/>
      <c r="I269" s="55"/>
      <c r="J269" s="55"/>
      <c r="K269" s="29"/>
      <c r="L269" s="54"/>
      <c r="M269" s="55"/>
      <c r="N269" s="30"/>
      <c r="O269" s="30"/>
      <c r="P269" s="52"/>
    </row>
    <row r="270" spans="2:16" hidden="1" x14ac:dyDescent="0.3">
      <c r="B270" s="21" t="s">
        <v>530</v>
      </c>
      <c r="C270" s="1" t="s">
        <v>524</v>
      </c>
      <c r="D270" s="28">
        <f t="shared" si="43"/>
        <v>0</v>
      </c>
      <c r="E270" s="29"/>
      <c r="F270" s="54"/>
      <c r="G270" s="55"/>
      <c r="H270" s="54"/>
      <c r="I270" s="55"/>
      <c r="J270" s="55"/>
      <c r="K270" s="29"/>
      <c r="L270" s="54"/>
      <c r="M270" s="55"/>
      <c r="N270" s="30"/>
      <c r="O270" s="30"/>
      <c r="P270" s="52"/>
    </row>
    <row r="271" spans="2:16" hidden="1" x14ac:dyDescent="0.3">
      <c r="B271" s="21" t="s">
        <v>531</v>
      </c>
      <c r="C271" s="1" t="s">
        <v>526</v>
      </c>
      <c r="D271" s="28">
        <f t="shared" si="43"/>
        <v>0</v>
      </c>
      <c r="E271" s="29"/>
      <c r="F271" s="57"/>
      <c r="G271" s="48"/>
      <c r="H271" s="57"/>
      <c r="I271" s="48"/>
      <c r="J271" s="48"/>
      <c r="K271" s="29"/>
      <c r="L271" s="57"/>
      <c r="M271" s="48"/>
      <c r="N271" s="30"/>
      <c r="O271" s="30"/>
      <c r="P271" s="80"/>
    </row>
    <row r="272" spans="2:16" ht="43.2" hidden="1" x14ac:dyDescent="0.3">
      <c r="B272" s="21" t="s">
        <v>532</v>
      </c>
      <c r="C272" s="1" t="s">
        <v>533</v>
      </c>
      <c r="D272" s="28">
        <f t="shared" ref="D272:D303" si="45">SUM(E272:I272)+SUM(K272:M272)</f>
        <v>19</v>
      </c>
      <c r="E272" s="50">
        <f>SUM(E274:E278)</f>
        <v>1</v>
      </c>
      <c r="F272" s="50">
        <f t="shared" ref="F272:M272" si="46">SUM(F273:F278)</f>
        <v>4</v>
      </c>
      <c r="G272" s="50">
        <f t="shared" si="46"/>
        <v>14</v>
      </c>
      <c r="H272" s="50">
        <f t="shared" si="46"/>
        <v>0</v>
      </c>
      <c r="I272" s="50">
        <f t="shared" si="46"/>
        <v>0</v>
      </c>
      <c r="J272" s="50">
        <f t="shared" si="46"/>
        <v>0</v>
      </c>
      <c r="K272" s="50">
        <f t="shared" si="46"/>
        <v>0</v>
      </c>
      <c r="L272" s="50">
        <f t="shared" si="46"/>
        <v>0</v>
      </c>
      <c r="M272" s="50">
        <f t="shared" si="46"/>
        <v>0</v>
      </c>
      <c r="N272" s="31" t="str">
        <f>IF((D272=D256)*AND(E272=E256)*AND(F272=F256)*AND(G272=G256)*AND(H272=H256)*AND(I272=I256)*AND(K272=K256)*AND(L272=L256)*AND(M272=M256)*AND(J272=J256),"Выполнено","ПРОВЕРИТЬ (в сумме должно получиться число действующих представительных органов)")</f>
        <v>Выполнено</v>
      </c>
      <c r="O272" s="30"/>
      <c r="P272" s="80"/>
    </row>
    <row r="273" spans="2:16" hidden="1" x14ac:dyDescent="0.3">
      <c r="B273" s="21" t="s">
        <v>534</v>
      </c>
      <c r="C273" s="1" t="s">
        <v>535</v>
      </c>
      <c r="D273" s="28">
        <f>SUM(F273:I273)+SUM(K273:L273)</f>
        <v>8</v>
      </c>
      <c r="E273" s="64"/>
      <c r="F273" s="53"/>
      <c r="G273" s="53">
        <v>8</v>
      </c>
      <c r="H273" s="53"/>
      <c r="I273" s="53"/>
      <c r="J273" s="29"/>
      <c r="K273" s="53"/>
      <c r="L273" s="53"/>
      <c r="M273" s="64"/>
      <c r="N273" s="30"/>
      <c r="O273" s="30"/>
      <c r="P273" s="52"/>
    </row>
    <row r="274" spans="2:16" hidden="1" x14ac:dyDescent="0.3">
      <c r="B274" s="21" t="s">
        <v>536</v>
      </c>
      <c r="C274" s="1" t="s">
        <v>537</v>
      </c>
      <c r="D274" s="28">
        <f t="shared" si="45"/>
        <v>8</v>
      </c>
      <c r="E274" s="53"/>
      <c r="F274" s="53">
        <v>2</v>
      </c>
      <c r="G274" s="53">
        <v>6</v>
      </c>
      <c r="H274" s="53"/>
      <c r="I274" s="53"/>
      <c r="J274" s="29"/>
      <c r="K274" s="53"/>
      <c r="L274" s="53"/>
      <c r="M274" s="53"/>
      <c r="N274" s="30"/>
      <c r="O274" s="30"/>
      <c r="P274" s="81"/>
    </row>
    <row r="275" spans="2:16" hidden="1" x14ac:dyDescent="0.3">
      <c r="B275" s="21" t="s">
        <v>538</v>
      </c>
      <c r="C275" s="1" t="s">
        <v>539</v>
      </c>
      <c r="D275" s="28">
        <f t="shared" si="45"/>
        <v>3</v>
      </c>
      <c r="E275" s="53">
        <v>1</v>
      </c>
      <c r="F275" s="53">
        <v>2</v>
      </c>
      <c r="G275" s="53"/>
      <c r="H275" s="53"/>
      <c r="I275" s="53"/>
      <c r="J275" s="29"/>
      <c r="K275" s="53"/>
      <c r="L275" s="53"/>
      <c r="M275" s="53"/>
      <c r="N275" s="30"/>
      <c r="O275" s="30"/>
      <c r="P275" s="52"/>
    </row>
    <row r="276" spans="2:16" hidden="1" x14ac:dyDescent="0.3">
      <c r="B276" s="21" t="s">
        <v>540</v>
      </c>
      <c r="C276" s="1" t="s">
        <v>541</v>
      </c>
      <c r="D276" s="28">
        <f t="shared" si="45"/>
        <v>0</v>
      </c>
      <c r="E276" s="53"/>
      <c r="F276" s="53"/>
      <c r="G276" s="53"/>
      <c r="H276" s="53"/>
      <c r="I276" s="53"/>
      <c r="J276" s="29"/>
      <c r="K276" s="53"/>
      <c r="L276" s="53"/>
      <c r="M276" s="53"/>
      <c r="N276" s="30"/>
      <c r="O276" s="30"/>
      <c r="P276" s="52"/>
    </row>
    <row r="277" spans="2:16" hidden="1" x14ac:dyDescent="0.3">
      <c r="B277" s="21" t="s">
        <v>542</v>
      </c>
      <c r="C277" s="1" t="s">
        <v>543</v>
      </c>
      <c r="D277" s="28">
        <f t="shared" si="45"/>
        <v>0</v>
      </c>
      <c r="E277" s="53"/>
      <c r="F277" s="53"/>
      <c r="G277" s="53"/>
      <c r="H277" s="53"/>
      <c r="I277" s="53"/>
      <c r="J277" s="29"/>
      <c r="K277" s="53"/>
      <c r="L277" s="53"/>
      <c r="M277" s="53"/>
      <c r="N277" s="30"/>
      <c r="O277" s="30"/>
      <c r="P277" s="52"/>
    </row>
    <row r="278" spans="2:16" hidden="1" x14ac:dyDescent="0.3">
      <c r="B278" s="33" t="s">
        <v>544</v>
      </c>
      <c r="C278" s="34" t="s">
        <v>545</v>
      </c>
      <c r="D278" s="28">
        <f t="shared" si="45"/>
        <v>0</v>
      </c>
      <c r="E278" s="49"/>
      <c r="F278" s="49"/>
      <c r="G278" s="49"/>
      <c r="H278" s="49"/>
      <c r="I278" s="49"/>
      <c r="J278" s="49"/>
      <c r="K278" s="49"/>
      <c r="L278" s="49"/>
      <c r="M278" s="49"/>
      <c r="N278" s="30"/>
      <c r="O278" s="31" t="str">
        <f>IF(((D278=0)),"   ","Нужно заполнить пункт 39 текстовой части - о представительных органах с 51 и более депутатов")</f>
        <v xml:space="preserve">   </v>
      </c>
      <c r="P278" s="52"/>
    </row>
    <row r="279" spans="2:16" ht="28.8" hidden="1" x14ac:dyDescent="0.3">
      <c r="B279" s="21" t="s">
        <v>546</v>
      </c>
      <c r="C279" s="1" t="s">
        <v>547</v>
      </c>
      <c r="D279" s="28">
        <f t="shared" si="45"/>
        <v>19</v>
      </c>
      <c r="E279" s="50">
        <f t="shared" ref="E279:M279" si="47">SUM(E280:E285)</f>
        <v>1</v>
      </c>
      <c r="F279" s="50">
        <f t="shared" si="47"/>
        <v>4</v>
      </c>
      <c r="G279" s="50">
        <f t="shared" si="47"/>
        <v>14</v>
      </c>
      <c r="H279" s="50">
        <f t="shared" si="47"/>
        <v>0</v>
      </c>
      <c r="I279" s="50">
        <f t="shared" si="47"/>
        <v>0</v>
      </c>
      <c r="J279" s="50">
        <f t="shared" si="47"/>
        <v>0</v>
      </c>
      <c r="K279" s="50">
        <f t="shared" si="47"/>
        <v>0</v>
      </c>
      <c r="L279" s="50">
        <f t="shared" si="47"/>
        <v>0</v>
      </c>
      <c r="M279" s="50">
        <f t="shared" si="47"/>
        <v>0</v>
      </c>
      <c r="N279" s="31" t="str">
        <f>IF((D279=D256)*AND(E279=E256)*AND(F279=F256)*AND(G279=G256)*AND(H279=H256)*AND(I279=I256)*AND(K279=K256)*AND(L279=L256)*AND(M279=M256)*AND(J279=J256),"Выполнено","ПРОВЕРИТЬ (в сумме должно получиться общее число действующих представительных органов)")</f>
        <v>Выполнено</v>
      </c>
      <c r="O279" s="30"/>
      <c r="P279" s="80"/>
    </row>
    <row r="280" spans="2:16" hidden="1" x14ac:dyDescent="0.3">
      <c r="B280" s="21" t="s">
        <v>548</v>
      </c>
      <c r="C280" s="1" t="s">
        <v>549</v>
      </c>
      <c r="D280" s="28">
        <f t="shared" si="45"/>
        <v>8</v>
      </c>
      <c r="E280" s="53"/>
      <c r="F280" s="53"/>
      <c r="G280" s="53">
        <v>8</v>
      </c>
      <c r="H280" s="53"/>
      <c r="I280" s="53"/>
      <c r="J280" s="29"/>
      <c r="K280" s="53"/>
      <c r="L280" s="53"/>
      <c r="M280" s="53"/>
      <c r="N280" s="30"/>
      <c r="O280" s="30"/>
      <c r="P280" s="52"/>
    </row>
    <row r="281" spans="2:16" hidden="1" x14ac:dyDescent="0.3">
      <c r="B281" s="21" t="s">
        <v>550</v>
      </c>
      <c r="C281" s="1" t="s">
        <v>537</v>
      </c>
      <c r="D281" s="28">
        <f t="shared" si="45"/>
        <v>8</v>
      </c>
      <c r="E281" s="53"/>
      <c r="F281" s="53">
        <v>2</v>
      </c>
      <c r="G281" s="53">
        <v>6</v>
      </c>
      <c r="H281" s="53"/>
      <c r="I281" s="53"/>
      <c r="J281" s="29"/>
      <c r="K281" s="53"/>
      <c r="L281" s="53"/>
      <c r="M281" s="53"/>
      <c r="N281" s="30"/>
      <c r="O281" s="30"/>
      <c r="P281" s="52"/>
    </row>
    <row r="282" spans="2:16" hidden="1" x14ac:dyDescent="0.3">
      <c r="B282" s="21" t="s">
        <v>551</v>
      </c>
      <c r="C282" s="1" t="s">
        <v>539</v>
      </c>
      <c r="D282" s="28">
        <f t="shared" si="45"/>
        <v>3</v>
      </c>
      <c r="E282" s="53">
        <v>1</v>
      </c>
      <c r="F282" s="53">
        <v>2</v>
      </c>
      <c r="G282" s="53"/>
      <c r="H282" s="53"/>
      <c r="I282" s="53"/>
      <c r="J282" s="29"/>
      <c r="K282" s="53"/>
      <c r="L282" s="53"/>
      <c r="M282" s="53"/>
      <c r="N282" s="30"/>
      <c r="O282" s="30"/>
      <c r="P282" s="52"/>
    </row>
    <row r="283" spans="2:16" hidden="1" x14ac:dyDescent="0.3">
      <c r="B283" s="21" t="s">
        <v>552</v>
      </c>
      <c r="C283" s="1" t="s">
        <v>541</v>
      </c>
      <c r="D283" s="28">
        <f t="shared" si="45"/>
        <v>0</v>
      </c>
      <c r="E283" s="53"/>
      <c r="F283" s="53"/>
      <c r="G283" s="53"/>
      <c r="H283" s="53"/>
      <c r="I283" s="53"/>
      <c r="J283" s="29"/>
      <c r="K283" s="53"/>
      <c r="L283" s="53"/>
      <c r="M283" s="53"/>
      <c r="N283" s="30"/>
      <c r="O283" s="30"/>
      <c r="P283" s="52"/>
    </row>
    <row r="284" spans="2:16" hidden="1" x14ac:dyDescent="0.3">
      <c r="B284" s="21" t="s">
        <v>553</v>
      </c>
      <c r="C284" s="1" t="s">
        <v>543</v>
      </c>
      <c r="D284" s="28">
        <f t="shared" si="45"/>
        <v>0</v>
      </c>
      <c r="E284" s="53"/>
      <c r="F284" s="53"/>
      <c r="G284" s="53"/>
      <c r="H284" s="53"/>
      <c r="I284" s="53"/>
      <c r="J284" s="29"/>
      <c r="K284" s="53"/>
      <c r="L284" s="53"/>
      <c r="M284" s="53"/>
      <c r="N284" s="30"/>
      <c r="O284" s="30"/>
      <c r="P284" s="81"/>
    </row>
    <row r="285" spans="2:16" hidden="1" x14ac:dyDescent="0.3">
      <c r="B285" s="33" t="s">
        <v>554</v>
      </c>
      <c r="C285" s="34" t="s">
        <v>555</v>
      </c>
      <c r="D285" s="28">
        <f t="shared" si="45"/>
        <v>0</v>
      </c>
      <c r="E285" s="49"/>
      <c r="F285" s="49"/>
      <c r="G285" s="49"/>
      <c r="H285" s="49"/>
      <c r="I285" s="49"/>
      <c r="J285" s="49"/>
      <c r="K285" s="49"/>
      <c r="L285" s="49"/>
      <c r="M285" s="49"/>
      <c r="N285" s="30"/>
      <c r="O285" s="31" t="str">
        <f>IF(((D285=0)),"   ","Нужно заполнить пункт 39 текстовой части - о представительных органах с 51 и более депутатов")</f>
        <v xml:space="preserve">   </v>
      </c>
      <c r="P285" s="81"/>
    </row>
    <row r="286" spans="2:16" ht="43.2" hidden="1" x14ac:dyDescent="0.3">
      <c r="B286" s="21" t="s">
        <v>556</v>
      </c>
      <c r="C286" s="1" t="s">
        <v>557</v>
      </c>
      <c r="D286" s="28">
        <f t="shared" si="45"/>
        <v>19</v>
      </c>
      <c r="E286" s="50">
        <f t="shared" ref="E286:M286" si="48">SUM(E287:E289)</f>
        <v>1</v>
      </c>
      <c r="F286" s="50">
        <f t="shared" si="48"/>
        <v>4</v>
      </c>
      <c r="G286" s="50">
        <f t="shared" si="48"/>
        <v>14</v>
      </c>
      <c r="H286" s="50">
        <f t="shared" si="48"/>
        <v>0</v>
      </c>
      <c r="I286" s="50">
        <f t="shared" si="48"/>
        <v>0</v>
      </c>
      <c r="J286" s="50">
        <f t="shared" si="48"/>
        <v>0</v>
      </c>
      <c r="K286" s="50">
        <f t="shared" si="48"/>
        <v>0</v>
      </c>
      <c r="L286" s="50">
        <f t="shared" si="48"/>
        <v>0</v>
      </c>
      <c r="M286" s="50">
        <f t="shared" si="48"/>
        <v>0</v>
      </c>
      <c r="N286" s="31" t="str">
        <f>IF((D286=D256)*AND(E286=E256)*AND(F286=F256)*AND(G286=G256)*AND(H286=H256)*AND(I286=I256)*AND(K286=K256)*AND(L286=L256)*AND(M286=M256)*AND(J286=J256),"Выполнено","ПРОВЕРИТЬ (в сумме должно получиться общее число действующих представительных органов)")</f>
        <v>Выполнено</v>
      </c>
      <c r="O286" s="30"/>
      <c r="P286" s="80"/>
    </row>
    <row r="287" spans="2:16" ht="28.8" hidden="1" x14ac:dyDescent="0.3">
      <c r="B287" s="21" t="s">
        <v>558</v>
      </c>
      <c r="C287" s="1" t="s">
        <v>559</v>
      </c>
      <c r="D287" s="28">
        <f t="shared" si="45"/>
        <v>11</v>
      </c>
      <c r="E287" s="29">
        <v>1</v>
      </c>
      <c r="F287" s="29">
        <v>2</v>
      </c>
      <c r="G287" s="29">
        <v>8</v>
      </c>
      <c r="H287" s="29"/>
      <c r="I287" s="29"/>
      <c r="J287" s="29"/>
      <c r="K287" s="53"/>
      <c r="L287" s="53"/>
      <c r="M287" s="53"/>
      <c r="N287" s="30"/>
      <c r="O287" s="30"/>
      <c r="P287" s="80"/>
    </row>
    <row r="288" spans="2:16" ht="28.8" hidden="1" x14ac:dyDescent="0.3">
      <c r="B288" s="21" t="s">
        <v>560</v>
      </c>
      <c r="C288" s="1" t="s">
        <v>561</v>
      </c>
      <c r="D288" s="28">
        <f t="shared" si="45"/>
        <v>8</v>
      </c>
      <c r="E288" s="29"/>
      <c r="F288" s="29">
        <v>2</v>
      </c>
      <c r="G288" s="29">
        <v>6</v>
      </c>
      <c r="H288" s="29"/>
      <c r="I288" s="29"/>
      <c r="J288" s="29"/>
      <c r="K288" s="53"/>
      <c r="L288" s="53"/>
      <c r="M288" s="53"/>
      <c r="N288" s="30"/>
      <c r="O288" s="30"/>
      <c r="P288" s="80"/>
    </row>
    <row r="289" spans="2:16" ht="28.8" hidden="1" x14ac:dyDescent="0.3">
      <c r="B289" s="33" t="s">
        <v>562</v>
      </c>
      <c r="C289" s="34" t="s">
        <v>563</v>
      </c>
      <c r="D289" s="28">
        <f t="shared" si="45"/>
        <v>0</v>
      </c>
      <c r="E289" s="49"/>
      <c r="F289" s="49"/>
      <c r="G289" s="49"/>
      <c r="H289" s="49"/>
      <c r="I289" s="49"/>
      <c r="J289" s="49"/>
      <c r="K289" s="49"/>
      <c r="L289" s="49"/>
      <c r="M289" s="49"/>
      <c r="N289" s="30"/>
      <c r="O289" s="31" t="str">
        <f>IF(((D289=0)),"   ","Нужно заполнить пункт 40 текстовой части - о представительных органах в неправомочном составе")</f>
        <v xml:space="preserve">   </v>
      </c>
      <c r="P289" s="80"/>
    </row>
    <row r="290" spans="2:16" ht="43.2" hidden="1" x14ac:dyDescent="0.3">
      <c r="B290" s="21" t="s">
        <v>564</v>
      </c>
      <c r="C290" s="1" t="s">
        <v>565</v>
      </c>
      <c r="D290" s="28">
        <f t="shared" si="45"/>
        <v>0</v>
      </c>
      <c r="E290" s="50">
        <f>SUM(E292:E293)</f>
        <v>0</v>
      </c>
      <c r="F290" s="50">
        <f t="shared" ref="F290:G290" si="49">SUM(F291:F293)</f>
        <v>0</v>
      </c>
      <c r="G290" s="50">
        <f t="shared" si="49"/>
        <v>0</v>
      </c>
      <c r="H290" s="50">
        <f t="shared" ref="H290:M290" si="50">SUM(H292:H293)</f>
        <v>0</v>
      </c>
      <c r="I290" s="50">
        <f t="shared" si="50"/>
        <v>0</v>
      </c>
      <c r="J290" s="50">
        <f t="shared" si="50"/>
        <v>0</v>
      </c>
      <c r="K290" s="50">
        <f t="shared" si="50"/>
        <v>0</v>
      </c>
      <c r="L290" s="50">
        <f t="shared" si="50"/>
        <v>0</v>
      </c>
      <c r="M290" s="50">
        <f t="shared" si="50"/>
        <v>0</v>
      </c>
      <c r="N290" s="30"/>
      <c r="O290" s="30"/>
      <c r="P290" s="80"/>
    </row>
    <row r="291" spans="2:16" ht="28.8" hidden="1" x14ac:dyDescent="0.3">
      <c r="B291" s="33" t="s">
        <v>566</v>
      </c>
      <c r="C291" s="34" t="s">
        <v>567</v>
      </c>
      <c r="D291" s="28">
        <f t="shared" ref="D291" si="51">F291+G291</f>
        <v>0</v>
      </c>
      <c r="E291" s="50"/>
      <c r="F291" s="49"/>
      <c r="G291" s="49"/>
      <c r="H291" s="23"/>
      <c r="I291" s="24"/>
      <c r="J291" s="24"/>
      <c r="K291" s="24"/>
      <c r="L291" s="24"/>
      <c r="M291" s="24"/>
      <c r="N291" s="31" t="str">
        <f>IF((F291&lt;=F$10)*AND(G291&lt;=G$10),"Выполнено","ПРОВЕРИТЬ (таких поселений не может быть больше чем всех поселений)")</f>
        <v>Выполнено</v>
      </c>
      <c r="O291" s="31" t="str">
        <f>IF(((D291=0)),"   ","Нужно заполнить пункт 37 текстовой части - о малочисленных поселениях без представительных органов")</f>
        <v xml:space="preserve">   </v>
      </c>
      <c r="P291" s="80"/>
    </row>
    <row r="292" spans="2:16" ht="43.2" hidden="1" x14ac:dyDescent="0.3">
      <c r="B292" s="33" t="s">
        <v>568</v>
      </c>
      <c r="C292" s="34" t="s">
        <v>569</v>
      </c>
      <c r="D292" s="28">
        <f t="shared" si="45"/>
        <v>0</v>
      </c>
      <c r="E292" s="49"/>
      <c r="F292" s="49"/>
      <c r="G292" s="49"/>
      <c r="H292" s="49"/>
      <c r="I292" s="49"/>
      <c r="J292" s="49"/>
      <c r="K292" s="49"/>
      <c r="L292" s="49"/>
      <c r="M292" s="49"/>
      <c r="N292" s="30"/>
      <c r="O292" s="31" t="str">
        <f>IF(((D292=0)),"   ","Нужно заполнить пункт 41 текстовой части - о распущенных представительных органах")</f>
        <v xml:space="preserve">   </v>
      </c>
      <c r="P292" s="80"/>
    </row>
    <row r="293" spans="2:16" ht="57.6" hidden="1" x14ac:dyDescent="0.3">
      <c r="B293" s="33" t="s">
        <v>570</v>
      </c>
      <c r="C293" s="34" t="s">
        <v>571</v>
      </c>
      <c r="D293" s="28">
        <f t="shared" si="45"/>
        <v>0</v>
      </c>
      <c r="E293" s="49"/>
      <c r="F293" s="49"/>
      <c r="G293" s="49"/>
      <c r="H293" s="49"/>
      <c r="I293" s="49"/>
      <c r="J293" s="49"/>
      <c r="K293" s="49"/>
      <c r="L293" s="49"/>
      <c r="M293" s="49"/>
      <c r="N293" s="30"/>
      <c r="O293" s="31" t="str">
        <f>IF(((D293=0)),"   ","Нужно заполнить пункт 43 текстовой части - о представительных органах в процессе преобразования")</f>
        <v xml:space="preserve">   </v>
      </c>
      <c r="P293" s="80"/>
    </row>
    <row r="294" spans="2:16" ht="57.6" hidden="1" x14ac:dyDescent="0.3">
      <c r="B294" s="33" t="s">
        <v>572</v>
      </c>
      <c r="C294" s="34" t="s">
        <v>573</v>
      </c>
      <c r="D294" s="28">
        <f t="shared" si="45"/>
        <v>0</v>
      </c>
      <c r="E294" s="49"/>
      <c r="F294" s="49"/>
      <c r="G294" s="49"/>
      <c r="H294" s="49"/>
      <c r="I294" s="49"/>
      <c r="J294" s="49"/>
      <c r="K294" s="49"/>
      <c r="L294" s="49"/>
      <c r="M294" s="49"/>
      <c r="N294" s="30"/>
      <c r="O294" s="31" t="str">
        <f>IF(((D294=0)),"   ","Нужно заполнить пункт 43 текстовой части - о представительных органах в процессе преобразования")</f>
        <v xml:space="preserve">   </v>
      </c>
      <c r="P294" s="80"/>
    </row>
    <row r="295" spans="2:16" ht="28.8" x14ac:dyDescent="0.3">
      <c r="B295" s="21" t="s">
        <v>574</v>
      </c>
      <c r="C295" s="1" t="s">
        <v>0</v>
      </c>
      <c r="D295" s="28">
        <f t="shared" si="45"/>
        <v>21</v>
      </c>
      <c r="E295" s="29"/>
      <c r="F295" s="29">
        <v>21</v>
      </c>
      <c r="G295" s="29"/>
      <c r="H295" s="29"/>
      <c r="I295" s="29"/>
      <c r="J295" s="29"/>
      <c r="K295" s="53"/>
      <c r="L295" s="53"/>
      <c r="M295" s="53"/>
      <c r="N295" s="30"/>
      <c r="O295" s="30"/>
      <c r="P295" s="80"/>
    </row>
    <row r="296" spans="2:16" ht="28.8" x14ac:dyDescent="0.3">
      <c r="B296" s="21" t="s">
        <v>575</v>
      </c>
      <c r="C296" s="1" t="s">
        <v>576</v>
      </c>
      <c r="D296" s="28">
        <f t="shared" si="45"/>
        <v>0</v>
      </c>
      <c r="E296" s="29"/>
      <c r="F296" s="29">
        <v>0</v>
      </c>
      <c r="G296" s="29"/>
      <c r="H296" s="29"/>
      <c r="I296" s="29"/>
      <c r="J296" s="29"/>
      <c r="K296" s="53"/>
      <c r="L296" s="53"/>
      <c r="M296" s="53"/>
      <c r="N296" s="30"/>
      <c r="O296" s="30"/>
      <c r="P296" s="80"/>
    </row>
    <row r="297" spans="2:16" ht="28.8" hidden="1" x14ac:dyDescent="0.3">
      <c r="B297" s="47" t="s">
        <v>577</v>
      </c>
      <c r="C297" s="22" t="s">
        <v>578</v>
      </c>
      <c r="D297" s="23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5"/>
      <c r="P297" s="52"/>
    </row>
    <row r="298" spans="2:16" ht="43.2" hidden="1" x14ac:dyDescent="0.3">
      <c r="B298" s="21" t="s">
        <v>579</v>
      </c>
      <c r="C298" s="120" t="s">
        <v>580</v>
      </c>
      <c r="D298" s="28">
        <f t="shared" si="45"/>
        <v>0</v>
      </c>
      <c r="E298" s="29"/>
      <c r="F298" s="29"/>
      <c r="G298" s="29"/>
      <c r="H298" s="29"/>
      <c r="I298" s="29"/>
      <c r="J298" s="29"/>
      <c r="K298" s="29"/>
      <c r="L298" s="29"/>
      <c r="M298" s="29"/>
      <c r="N298" s="31" t="str">
        <f>IF((D298&gt;=D257)*AND(E298&gt;=E257)*AND(F298&gt;=F257)*AND(G298&gt;=G257)*AND(H298&gt;=H257)*AND(I298&gt;=I257)*AND(K298&gt;=K257)*AND(L298&gt;=L257)*AND(M298&gt;=M257)*AND(J298&gt;=J257),"Выполнено","ПРОВЕРИТЬ (число депутатов, избранных на выборах, обычно в разы больше числа составов, избранных на выборах)")</f>
        <v>ПРОВЕРИТЬ (число депутатов, избранных на выборах, обычно в разы больше числа составов, избранных на выборах)</v>
      </c>
      <c r="O298" s="30"/>
      <c r="P298" s="52"/>
    </row>
    <row r="299" spans="2:16" ht="43.2" hidden="1" x14ac:dyDescent="0.3">
      <c r="B299" s="21" t="s">
        <v>581</v>
      </c>
      <c r="C299" s="120" t="s">
        <v>582</v>
      </c>
      <c r="D299" s="28">
        <f t="shared" si="45"/>
        <v>0</v>
      </c>
      <c r="E299" s="121"/>
      <c r="F299" s="121"/>
      <c r="G299" s="121"/>
      <c r="H299" s="121"/>
      <c r="I299" s="121"/>
      <c r="J299" s="121"/>
      <c r="K299" s="121"/>
      <c r="L299" s="121"/>
      <c r="M299" s="121"/>
      <c r="N299" s="30"/>
      <c r="O299" s="30"/>
      <c r="P299" s="52"/>
    </row>
    <row r="300" spans="2:16" ht="43.2" hidden="1" x14ac:dyDescent="0.3">
      <c r="B300" s="21" t="s">
        <v>583</v>
      </c>
      <c r="C300" s="120" t="s">
        <v>584</v>
      </c>
      <c r="D300" s="28">
        <f t="shared" si="45"/>
        <v>0</v>
      </c>
      <c r="E300" s="121"/>
      <c r="F300" s="121"/>
      <c r="G300" s="121"/>
      <c r="H300" s="121"/>
      <c r="I300" s="121"/>
      <c r="J300" s="121"/>
      <c r="K300" s="121"/>
      <c r="L300" s="121"/>
      <c r="M300" s="121"/>
      <c r="N300" s="30"/>
      <c r="O300" s="30"/>
      <c r="P300" s="52"/>
    </row>
    <row r="301" spans="2:16" hidden="1" x14ac:dyDescent="0.3">
      <c r="B301" s="82" t="s">
        <v>585</v>
      </c>
      <c r="C301" s="120" t="s">
        <v>586</v>
      </c>
      <c r="D301" s="28">
        <f>SUM(E301:I301)+SUM(K301:M301)</f>
        <v>0</v>
      </c>
      <c r="E301" s="50">
        <f t="shared" ref="E301:M301" si="52">E302+E303</f>
        <v>0</v>
      </c>
      <c r="F301" s="50">
        <f t="shared" si="52"/>
        <v>0</v>
      </c>
      <c r="G301" s="50">
        <f t="shared" si="52"/>
        <v>0</v>
      </c>
      <c r="H301" s="50">
        <f t="shared" si="52"/>
        <v>0</v>
      </c>
      <c r="I301" s="50">
        <f t="shared" si="52"/>
        <v>0</v>
      </c>
      <c r="J301" s="50">
        <f t="shared" si="52"/>
        <v>0</v>
      </c>
      <c r="K301" s="50">
        <f t="shared" si="52"/>
        <v>0</v>
      </c>
      <c r="L301" s="50">
        <f t="shared" si="52"/>
        <v>0</v>
      </c>
      <c r="M301" s="50">
        <f t="shared" si="52"/>
        <v>0</v>
      </c>
      <c r="N301" s="31" t="str">
        <f>IF((D301=D298)*AND(E301=E298)*AND(F301=F298)*AND(G301=G298)*AND(H301=H298)*AND(I301=I298)*AND(K301=K298)*AND(L301=L298)*AND(M301=M298)*AND(J301=J298),"Выполнено","ПРОВЕРИТЬ (в сумме должно получиться общее число депутатов, избранных на муниципальных выборах)")</f>
        <v>Выполнено</v>
      </c>
      <c r="O301" s="30"/>
      <c r="P301" s="80"/>
    </row>
    <row r="302" spans="2:16" hidden="1" x14ac:dyDescent="0.3">
      <c r="B302" s="82" t="s">
        <v>587</v>
      </c>
      <c r="C302" s="120" t="s">
        <v>588</v>
      </c>
      <c r="D302" s="28">
        <f t="shared" si="45"/>
        <v>0</v>
      </c>
      <c r="E302" s="29"/>
      <c r="F302" s="29"/>
      <c r="G302" s="29"/>
      <c r="H302" s="29"/>
      <c r="I302" s="29"/>
      <c r="J302" s="29"/>
      <c r="K302" s="29"/>
      <c r="L302" s="29"/>
      <c r="M302" s="29"/>
      <c r="N302" s="83"/>
      <c r="O302" s="83"/>
      <c r="P302" s="80"/>
    </row>
    <row r="303" spans="2:16" hidden="1" x14ac:dyDescent="0.3">
      <c r="B303" s="82" t="s">
        <v>589</v>
      </c>
      <c r="C303" s="120" t="s">
        <v>590</v>
      </c>
      <c r="D303" s="28">
        <f t="shared" si="45"/>
        <v>0</v>
      </c>
      <c r="E303" s="29"/>
      <c r="F303" s="29"/>
      <c r="G303" s="29"/>
      <c r="H303" s="29"/>
      <c r="I303" s="29"/>
      <c r="J303" s="29"/>
      <c r="K303" s="29"/>
      <c r="L303" s="29"/>
      <c r="M303" s="29"/>
      <c r="N303" s="83"/>
      <c r="O303" s="83"/>
      <c r="P303" s="52"/>
    </row>
    <row r="304" spans="2:16" ht="43.2" hidden="1" x14ac:dyDescent="0.3">
      <c r="B304" s="82" t="s">
        <v>591</v>
      </c>
      <c r="C304" s="120" t="s">
        <v>592</v>
      </c>
      <c r="D304" s="28">
        <f t="shared" ref="D304" si="53">E304+K304</f>
        <v>0</v>
      </c>
      <c r="E304" s="50">
        <f>SUM(E305:E307)</f>
        <v>0</v>
      </c>
      <c r="F304" s="59"/>
      <c r="G304" s="60"/>
      <c r="H304" s="60"/>
      <c r="I304" s="60"/>
      <c r="J304" s="61"/>
      <c r="K304" s="50">
        <f>SUM(K305:K307)</f>
        <v>0</v>
      </c>
      <c r="L304" s="59"/>
      <c r="M304" s="61"/>
      <c r="N304" s="31" t="str">
        <f>IF((D304&gt;=D261)*AND(E304&gt;=E261)*AND(K304&gt;=K261),"Выполнено","ПРОВЕРИТЬ (число депутатов, избранных по системе делегирования, обычно в разы больше числа составов, избранных по системе делегирования)")</f>
        <v>Выполнено</v>
      </c>
      <c r="O304" s="83"/>
      <c r="P304" s="52"/>
    </row>
    <row r="305" spans="2:16" hidden="1" x14ac:dyDescent="0.3">
      <c r="B305" s="82" t="s">
        <v>593</v>
      </c>
      <c r="C305" s="120" t="s">
        <v>594</v>
      </c>
      <c r="D305" s="28">
        <f>E305</f>
        <v>0</v>
      </c>
      <c r="E305" s="53"/>
      <c r="F305" s="54"/>
      <c r="G305" s="55"/>
      <c r="H305" s="55"/>
      <c r="I305" s="55"/>
      <c r="J305" s="56"/>
      <c r="K305" s="62"/>
      <c r="L305" s="54"/>
      <c r="M305" s="56"/>
      <c r="N305" s="83"/>
      <c r="O305" s="83"/>
      <c r="P305" s="52"/>
    </row>
    <row r="306" spans="2:16" hidden="1" x14ac:dyDescent="0.3">
      <c r="B306" s="82" t="s">
        <v>595</v>
      </c>
      <c r="C306" s="120" t="s">
        <v>596</v>
      </c>
      <c r="D306" s="28">
        <f>E306</f>
        <v>0</v>
      </c>
      <c r="E306" s="53"/>
      <c r="F306" s="54"/>
      <c r="G306" s="55"/>
      <c r="H306" s="55"/>
      <c r="I306" s="55"/>
      <c r="J306" s="56"/>
      <c r="K306" s="65"/>
      <c r="L306" s="54"/>
      <c r="M306" s="56"/>
      <c r="N306" s="83"/>
      <c r="O306" s="83"/>
      <c r="P306" s="52"/>
    </row>
    <row r="307" spans="2:16" hidden="1" x14ac:dyDescent="0.3">
      <c r="B307" s="82" t="s">
        <v>597</v>
      </c>
      <c r="C307" s="120" t="s">
        <v>598</v>
      </c>
      <c r="D307" s="28">
        <f>K307</f>
        <v>0</v>
      </c>
      <c r="E307" s="50"/>
      <c r="F307" s="54"/>
      <c r="G307" s="55"/>
      <c r="H307" s="55"/>
      <c r="I307" s="55"/>
      <c r="J307" s="55"/>
      <c r="K307" s="53"/>
      <c r="L307" s="54"/>
      <c r="M307" s="55"/>
      <c r="N307" s="83"/>
      <c r="O307" s="83"/>
      <c r="P307" s="52"/>
    </row>
    <row r="308" spans="2:16" hidden="1" x14ac:dyDescent="0.3">
      <c r="B308" s="82" t="s">
        <v>599</v>
      </c>
      <c r="C308" s="120" t="s">
        <v>586</v>
      </c>
      <c r="D308" s="28">
        <f>E308+K308</f>
        <v>0</v>
      </c>
      <c r="E308" s="50">
        <f t="shared" ref="E308" si="54">E309+E310</f>
        <v>0</v>
      </c>
      <c r="F308" s="54"/>
      <c r="G308" s="55"/>
      <c r="H308" s="55"/>
      <c r="I308" s="55"/>
      <c r="J308" s="55"/>
      <c r="K308" s="50">
        <f t="shared" ref="K308" si="55">K309+K310</f>
        <v>0</v>
      </c>
      <c r="L308" s="54"/>
      <c r="M308" s="55"/>
      <c r="N308" s="31" t="str">
        <f>IF((E308=E304)*AND(K308=K304),"Выполнено","ПРОВЕРИТЬ (в сумме должно получиться общее число депутатов, избранных методом делегирования)")</f>
        <v>Выполнено</v>
      </c>
      <c r="O308" s="30"/>
      <c r="P308" s="52"/>
    </row>
    <row r="309" spans="2:16" hidden="1" x14ac:dyDescent="0.3">
      <c r="B309" s="82" t="s">
        <v>600</v>
      </c>
      <c r="C309" s="120" t="s">
        <v>588</v>
      </c>
      <c r="D309" s="28">
        <f>E309+K309</f>
        <v>0</v>
      </c>
      <c r="E309" s="29"/>
      <c r="F309" s="54"/>
      <c r="G309" s="55"/>
      <c r="H309" s="55"/>
      <c r="I309" s="55"/>
      <c r="J309" s="55"/>
      <c r="K309" s="29"/>
      <c r="L309" s="54"/>
      <c r="M309" s="56"/>
      <c r="N309" s="83"/>
      <c r="O309" s="30"/>
      <c r="P309" s="52"/>
    </row>
    <row r="310" spans="2:16" hidden="1" x14ac:dyDescent="0.3">
      <c r="B310" s="82" t="s">
        <v>601</v>
      </c>
      <c r="C310" s="120" t="s">
        <v>590</v>
      </c>
      <c r="D310" s="28">
        <f>E310+K310</f>
        <v>0</v>
      </c>
      <c r="E310" s="29"/>
      <c r="F310" s="57"/>
      <c r="G310" s="55"/>
      <c r="H310" s="55"/>
      <c r="I310" s="55"/>
      <c r="J310" s="55"/>
      <c r="K310" s="29"/>
      <c r="L310" s="57"/>
      <c r="M310" s="58"/>
      <c r="N310" s="83"/>
      <c r="O310" s="30"/>
      <c r="P310" s="52"/>
    </row>
    <row r="311" spans="2:16" ht="28.8" hidden="1" x14ac:dyDescent="0.3">
      <c r="B311" s="82" t="s">
        <v>602</v>
      </c>
      <c r="C311" s="120" t="s">
        <v>603</v>
      </c>
      <c r="D311" s="50">
        <f t="shared" ref="D311" si="56">SUM(D312:D314)</f>
        <v>0</v>
      </c>
      <c r="E311" s="55"/>
      <c r="F311" s="60"/>
      <c r="G311" s="60"/>
      <c r="H311" s="60"/>
      <c r="I311" s="60"/>
      <c r="J311" s="61"/>
      <c r="K311" s="60"/>
      <c r="L311" s="60"/>
      <c r="M311" s="60"/>
      <c r="N311" s="83"/>
      <c r="O311" s="30"/>
      <c r="P311" s="52"/>
    </row>
    <row r="312" spans="2:16" hidden="1" x14ac:dyDescent="0.3">
      <c r="B312" s="82" t="s">
        <v>604</v>
      </c>
      <c r="C312" s="120" t="s">
        <v>605</v>
      </c>
      <c r="D312" s="79"/>
      <c r="E312" s="54"/>
      <c r="F312" s="55"/>
      <c r="G312" s="55"/>
      <c r="H312" s="55"/>
      <c r="I312" s="55"/>
      <c r="J312" s="56"/>
      <c r="K312" s="55"/>
      <c r="L312" s="55"/>
      <c r="M312" s="55"/>
      <c r="N312" s="31" t="str">
        <f>IF((D312&lt;=D305),"Выполнено","ПРОВЕРИТЬ (таких депутатов не может быть больше чем депутатов, избранных делегированным способом от городских поселений)")</f>
        <v>Выполнено</v>
      </c>
      <c r="O312" s="30"/>
      <c r="P312" s="52"/>
    </row>
    <row r="313" spans="2:16" hidden="1" x14ac:dyDescent="0.3">
      <c r="B313" s="82" t="s">
        <v>606</v>
      </c>
      <c r="C313" s="120" t="s">
        <v>607</v>
      </c>
      <c r="D313" s="79"/>
      <c r="E313" s="54"/>
      <c r="F313" s="55"/>
      <c r="G313" s="55"/>
      <c r="H313" s="55"/>
      <c r="I313" s="55"/>
      <c r="J313" s="56"/>
      <c r="K313" s="55"/>
      <c r="L313" s="55"/>
      <c r="M313" s="55"/>
      <c r="N313" s="31" t="str">
        <f>IF((D313&lt;=D306),"Выполнено","ПРОВЕРИТЬ (таких депутатов с двумя мандатами не может быть больше чем депутатов, избранных делегированным способом от сельских поселений)")</f>
        <v>Выполнено</v>
      </c>
      <c r="O313" s="30"/>
      <c r="P313" s="80"/>
    </row>
    <row r="314" spans="2:16" ht="28.8" hidden="1" x14ac:dyDescent="0.3">
      <c r="B314" s="82" t="s">
        <v>608</v>
      </c>
      <c r="C314" s="120" t="s">
        <v>609</v>
      </c>
      <c r="D314" s="79"/>
      <c r="E314" s="57"/>
      <c r="F314" s="48"/>
      <c r="G314" s="48"/>
      <c r="H314" s="48"/>
      <c r="I314" s="48"/>
      <c r="J314" s="58"/>
      <c r="K314" s="48"/>
      <c r="L314" s="48"/>
      <c r="M314" s="48"/>
      <c r="N314" s="31" t="str">
        <f>IF((D314&lt;=D307),"Выполнено","ПРОВЕРИТЬ (таких депутатов с двумя мандатами не может быть больше чем депутатов, избранных делегированным способом от внутригородских районов)")</f>
        <v>Выполнено</v>
      </c>
      <c r="O314" s="30"/>
      <c r="P314" s="52"/>
    </row>
    <row r="315" spans="2:16" hidden="1" x14ac:dyDescent="0.3">
      <c r="B315" s="82" t="s">
        <v>610</v>
      </c>
      <c r="C315" s="120" t="s">
        <v>611</v>
      </c>
      <c r="D315" s="28">
        <f t="shared" ref="D315:D354" si="57">SUM(E315:I315)+SUM(K315:M315)</f>
        <v>0</v>
      </c>
      <c r="E315" s="121"/>
      <c r="F315" s="121"/>
      <c r="G315" s="121"/>
      <c r="H315" s="121"/>
      <c r="I315" s="121"/>
      <c r="J315" s="121"/>
      <c r="K315" s="121"/>
      <c r="L315" s="121"/>
      <c r="M315" s="121"/>
      <c r="N315" s="83"/>
      <c r="O315" s="83"/>
      <c r="P315" s="52"/>
    </row>
    <row r="316" spans="2:16" ht="43.2" hidden="1" x14ac:dyDescent="0.3">
      <c r="B316" s="82" t="s">
        <v>612</v>
      </c>
      <c r="C316" s="120" t="s">
        <v>613</v>
      </c>
      <c r="D316" s="28">
        <f>D315-D311</f>
        <v>0</v>
      </c>
      <c r="E316" s="23"/>
      <c r="F316" s="24"/>
      <c r="G316" s="24"/>
      <c r="H316" s="24"/>
      <c r="I316" s="24"/>
      <c r="J316" s="25"/>
      <c r="K316" s="24"/>
      <c r="L316" s="24"/>
      <c r="M316" s="24"/>
      <c r="N316" s="83"/>
      <c r="O316" s="83"/>
      <c r="P316" s="81"/>
    </row>
    <row r="317" spans="2:16" ht="28.8" hidden="1" x14ac:dyDescent="0.3">
      <c r="B317" s="21" t="s">
        <v>614</v>
      </c>
      <c r="C317" s="120" t="s">
        <v>615</v>
      </c>
      <c r="D317" s="28">
        <f t="shared" si="57"/>
        <v>0</v>
      </c>
      <c r="E317" s="29"/>
      <c r="F317" s="29"/>
      <c r="G317" s="29"/>
      <c r="H317" s="29"/>
      <c r="I317" s="29"/>
      <c r="J317" s="29"/>
      <c r="K317" s="29"/>
      <c r="L317" s="29"/>
      <c r="M317" s="29"/>
      <c r="N317" s="31" t="str">
        <f>IF((D317&gt;=(D288+D289))*AND(E317&gt;=(E288+E289))*AND(F317&gt;=(F288+F289))*AND(G317&gt;=(G288+G289))*AND(H317&gt;=(H288+H289))*AND(I317&gt;=(I288+I289))*AND(K317&gt;=(K288+K289))*AND(L317&gt;=(L288+L289))*AND(M317&gt;=(M288+M289))*AND(J317&gt;=(J288+J289)),"Выполнено","ПРОВЕРИТЬ (вакантных мандатов не может быть меньше чем не укомплектованных составов)
)")</f>
        <v>ПРОВЕРИТЬ (вакантных мандатов не может быть меньше чем не укомплектованных составов)
)</v>
      </c>
      <c r="O317" s="83"/>
      <c r="P317" s="52"/>
    </row>
    <row r="318" spans="2:16" ht="43.2" hidden="1" x14ac:dyDescent="0.3">
      <c r="B318" s="21" t="s">
        <v>616</v>
      </c>
      <c r="C318" s="120" t="s">
        <v>617</v>
      </c>
      <c r="D318" s="28">
        <f t="shared" si="57"/>
        <v>0</v>
      </c>
      <c r="E318" s="50">
        <f>E315+E317</f>
        <v>0</v>
      </c>
      <c r="F318" s="50">
        <f t="shared" ref="F318:M318" si="58">F315+F317</f>
        <v>0</v>
      </c>
      <c r="G318" s="50">
        <f t="shared" si="58"/>
        <v>0</v>
      </c>
      <c r="H318" s="50">
        <f t="shared" si="58"/>
        <v>0</v>
      </c>
      <c r="I318" s="50">
        <f t="shared" si="58"/>
        <v>0</v>
      </c>
      <c r="J318" s="50">
        <f>J315+J317</f>
        <v>0</v>
      </c>
      <c r="K318" s="50">
        <f t="shared" si="58"/>
        <v>0</v>
      </c>
      <c r="L318" s="50">
        <f t="shared" si="58"/>
        <v>0</v>
      </c>
      <c r="M318" s="50">
        <f t="shared" si="58"/>
        <v>0</v>
      </c>
      <c r="N318" s="83"/>
      <c r="O318" s="83"/>
      <c r="P318" s="52"/>
    </row>
    <row r="319" spans="2:16" ht="43.2" hidden="1" x14ac:dyDescent="0.3">
      <c r="B319" s="21" t="s">
        <v>618</v>
      </c>
      <c r="C319" s="120" t="s">
        <v>619</v>
      </c>
      <c r="D319" s="28">
        <f t="shared" si="57"/>
        <v>0</v>
      </c>
      <c r="E319" s="29"/>
      <c r="F319" s="29"/>
      <c r="G319" s="29"/>
      <c r="H319" s="29"/>
      <c r="I319" s="29"/>
      <c r="J319" s="29"/>
      <c r="K319" s="29"/>
      <c r="L319" s="29"/>
      <c r="M319" s="29"/>
      <c r="N319" s="31" t="str">
        <f>IF((D319&gt;=(D292+D293))*AND(E319&gt;=(E292+E293))*AND(F319&gt;=(F292+F293))*AND(G319&gt;=(G292+G293))*AND(H319&gt;=(H292+H293))*AND(I319&gt;=(I292+I293))*AND(K319&gt;=(K292+K293))*AND(L319&gt;=(L292+L293))*AND(M319&gt;=(M292+M293))*AND(J319&gt;=(J292+J293)),"Выполнено","ПРОВЕРИТЬ (вакантных мандатов в таких составах не может быть меньше чем самих составов)
)")</f>
        <v>Выполнено</v>
      </c>
      <c r="O319" s="83"/>
      <c r="P319" s="52"/>
    </row>
    <row r="320" spans="2:16" ht="43.2" hidden="1" x14ac:dyDescent="0.3">
      <c r="B320" s="21" t="s">
        <v>620</v>
      </c>
      <c r="C320" s="1" t="s">
        <v>621</v>
      </c>
      <c r="D320" s="28">
        <f t="shared" si="57"/>
        <v>0</v>
      </c>
      <c r="E320" s="29"/>
      <c r="F320" s="29"/>
      <c r="G320" s="29"/>
      <c r="H320" s="29"/>
      <c r="I320" s="29"/>
      <c r="J320" s="29"/>
      <c r="K320" s="29"/>
      <c r="L320" s="29"/>
      <c r="M320" s="29"/>
      <c r="N320" s="31" t="str">
        <f>IF((D320&gt;=D294)*AND(E320&gt;=E294)*AND(F320&gt;=F294)*AND(G320&gt;=G294)*AND(H320&gt;=H294)*AND(I320&gt;=I294)*AND(K320&gt;=K294)*AND(L320&gt;=L294)*AND(M320&gt;=M294)*AND(J320&gt;=J294),"Выполнено","ПРОВЕРИТЬ (число таких депутатов не может быть меньше числа соответствующих составов)
)")</f>
        <v>Выполнено</v>
      </c>
      <c r="O320" s="83"/>
      <c r="P320" s="52"/>
    </row>
    <row r="321" spans="2:16" ht="75.75" hidden="1" customHeight="1" x14ac:dyDescent="0.3">
      <c r="B321" s="21" t="s">
        <v>622</v>
      </c>
      <c r="C321" s="1" t="s">
        <v>623</v>
      </c>
      <c r="D321" s="122" t="e">
        <f>(SUM(E321:M321)-IF(J321&gt;0,J321,0))/(COUNTIF(E321:M321,"&gt;0")-(IF(J321&gt;0,1,0)))</f>
        <v>#DIV/0!</v>
      </c>
      <c r="E321" s="29"/>
      <c r="F321" s="29"/>
      <c r="G321" s="29"/>
      <c r="H321" s="29"/>
      <c r="I321" s="29"/>
      <c r="J321" s="29"/>
      <c r="K321" s="29"/>
      <c r="L321" s="29"/>
      <c r="M321" s="29"/>
      <c r="N321" s="30"/>
      <c r="O321" s="123"/>
      <c r="P321" s="52"/>
    </row>
    <row r="322" spans="2:16" ht="136.5" hidden="1" customHeight="1" x14ac:dyDescent="0.3">
      <c r="B322" s="21" t="s">
        <v>624</v>
      </c>
      <c r="C322" s="1" t="s">
        <v>625</v>
      </c>
      <c r="D322" s="28">
        <f t="shared" ref="D322:D323" si="59">SUM(E322:I322)+SUM(K322:M322)</f>
        <v>0</v>
      </c>
      <c r="E322" s="29"/>
      <c r="F322" s="29"/>
      <c r="G322" s="29"/>
      <c r="H322" s="29"/>
      <c r="I322" s="29"/>
      <c r="J322" s="29"/>
      <c r="K322" s="29"/>
      <c r="L322" s="29"/>
      <c r="M322" s="29"/>
      <c r="N322" s="30"/>
      <c r="O322" s="123"/>
      <c r="P322" s="52"/>
    </row>
    <row r="323" spans="2:16" ht="120" hidden="1" customHeight="1" x14ac:dyDescent="0.3">
      <c r="B323" s="21" t="s">
        <v>626</v>
      </c>
      <c r="C323" s="1" t="s">
        <v>627</v>
      </c>
      <c r="D323" s="28">
        <f t="shared" si="59"/>
        <v>0</v>
      </c>
      <c r="E323" s="29"/>
      <c r="F323" s="29"/>
      <c r="G323" s="29"/>
      <c r="H323" s="29"/>
      <c r="I323" s="29"/>
      <c r="J323" s="29"/>
      <c r="K323" s="29"/>
      <c r="L323" s="29"/>
      <c r="M323" s="29"/>
      <c r="N323" s="30"/>
      <c r="O323" s="123"/>
      <c r="P323" s="52"/>
    </row>
    <row r="324" spans="2:16" ht="120.75" hidden="1" customHeight="1" x14ac:dyDescent="0.3">
      <c r="B324" s="21" t="s">
        <v>628</v>
      </c>
      <c r="C324" s="1" t="s">
        <v>629</v>
      </c>
      <c r="D324" s="122" t="e">
        <f>(SUM(E324:M324)-IF(J324&gt;0,J324,0))/(COUNTIF(E324:M324,"&gt;0")-(IF(J324&gt;0,1,0)))</f>
        <v>#DIV/0!</v>
      </c>
      <c r="E324" s="29"/>
      <c r="F324" s="29"/>
      <c r="G324" s="29"/>
      <c r="H324" s="29"/>
      <c r="I324" s="29"/>
      <c r="J324" s="29"/>
      <c r="K324" s="29"/>
      <c r="L324" s="29"/>
      <c r="M324" s="29"/>
      <c r="N324" s="30"/>
      <c r="O324" s="123"/>
      <c r="P324" s="52"/>
    </row>
    <row r="325" spans="2:16" hidden="1" x14ac:dyDescent="0.3">
      <c r="B325" s="93" t="s">
        <v>630</v>
      </c>
      <c r="C325" s="124" t="s">
        <v>631</v>
      </c>
      <c r="D325" s="23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5"/>
      <c r="P325" s="52"/>
    </row>
    <row r="326" spans="2:16" ht="43.2" hidden="1" x14ac:dyDescent="0.3">
      <c r="B326" s="33" t="s">
        <v>632</v>
      </c>
      <c r="C326" s="34" t="s">
        <v>633</v>
      </c>
      <c r="D326" s="28">
        <f t="shared" si="57"/>
        <v>0</v>
      </c>
      <c r="E326" s="50">
        <f t="shared" ref="E326:M326" si="60">SUM(E327:E330)</f>
        <v>0</v>
      </c>
      <c r="F326" s="50">
        <f t="shared" si="60"/>
        <v>0</v>
      </c>
      <c r="G326" s="50">
        <f t="shared" si="60"/>
        <v>0</v>
      </c>
      <c r="H326" s="50">
        <f t="shared" si="60"/>
        <v>0</v>
      </c>
      <c r="I326" s="50">
        <f t="shared" si="60"/>
        <v>0</v>
      </c>
      <c r="J326" s="50">
        <f>SUM(J327:J330)</f>
        <v>0</v>
      </c>
      <c r="K326" s="50">
        <f t="shared" si="60"/>
        <v>0</v>
      </c>
      <c r="L326" s="50">
        <f t="shared" si="60"/>
        <v>0</v>
      </c>
      <c r="M326" s="50">
        <f t="shared" si="60"/>
        <v>0</v>
      </c>
      <c r="N326" s="31" t="str">
        <f>IF((D326=D$10)*AND(E326=E$10)*AND(F326=F$10)*AND(G326=G$10)*AND(H326=H$10)*AND(I326=I$10)*AND(K326=K$10)*AND(L326=L$10)*AND(M326=M$10)*AND(J326=J$10),"Выполнено","ПРОВЕРИТЬ (во всех муниципальных образованиях должен быть урегулирован способ избрания глав)")</f>
        <v>ПРОВЕРИТЬ (во всех муниципальных образованиях должен быть урегулирован способ избрания глав)</v>
      </c>
      <c r="O326" s="31" t="str">
        <f>IF(((D326=0)),"   ","Нужно заполнить пункт 43 текстовой части - о способах избрания и полномочиях глав муниципальных образований")</f>
        <v xml:space="preserve">   </v>
      </c>
      <c r="P326" s="52"/>
    </row>
    <row r="327" spans="2:16" hidden="1" x14ac:dyDescent="0.3">
      <c r="B327" s="33" t="s">
        <v>634</v>
      </c>
      <c r="C327" s="34" t="s">
        <v>635</v>
      </c>
      <c r="D327" s="28">
        <f t="shared" si="57"/>
        <v>0</v>
      </c>
      <c r="E327" s="49"/>
      <c r="F327" s="49"/>
      <c r="G327" s="49"/>
      <c r="H327" s="49"/>
      <c r="I327" s="49"/>
      <c r="J327" s="49"/>
      <c r="K327" s="49"/>
      <c r="L327" s="49"/>
      <c r="M327" s="49"/>
      <c r="N327" s="83"/>
      <c r="O327" s="83"/>
      <c r="P327" s="52"/>
    </row>
    <row r="328" spans="2:16" ht="28.8" hidden="1" x14ac:dyDescent="0.3">
      <c r="B328" s="33" t="s">
        <v>636</v>
      </c>
      <c r="C328" s="34" t="s">
        <v>637</v>
      </c>
      <c r="D328" s="28">
        <f t="shared" si="57"/>
        <v>0</v>
      </c>
      <c r="E328" s="49"/>
      <c r="F328" s="49"/>
      <c r="G328" s="49"/>
      <c r="H328" s="49"/>
      <c r="I328" s="49"/>
      <c r="J328" s="49"/>
      <c r="K328" s="49"/>
      <c r="L328" s="49"/>
      <c r="M328" s="49"/>
      <c r="N328" s="83"/>
      <c r="O328" s="83"/>
      <c r="P328" s="52"/>
    </row>
    <row r="329" spans="2:16" ht="28.8" hidden="1" x14ac:dyDescent="0.3">
      <c r="B329" s="33" t="s">
        <v>638</v>
      </c>
      <c r="C329" s="34" t="s">
        <v>639</v>
      </c>
      <c r="D329" s="28">
        <f t="shared" si="57"/>
        <v>0</v>
      </c>
      <c r="E329" s="49"/>
      <c r="F329" s="49"/>
      <c r="G329" s="49"/>
      <c r="H329" s="49"/>
      <c r="I329" s="49"/>
      <c r="J329" s="49"/>
      <c r="K329" s="49"/>
      <c r="L329" s="49"/>
      <c r="M329" s="49"/>
      <c r="N329" s="83"/>
      <c r="O329" s="83"/>
      <c r="P329" s="52"/>
    </row>
    <row r="330" spans="2:16" ht="43.2" hidden="1" x14ac:dyDescent="0.3">
      <c r="B330" s="33" t="s">
        <v>640</v>
      </c>
      <c r="C330" s="34" t="s">
        <v>641</v>
      </c>
      <c r="D330" s="28">
        <f t="shared" si="57"/>
        <v>0</v>
      </c>
      <c r="E330" s="49"/>
      <c r="F330" s="49"/>
      <c r="G330" s="49"/>
      <c r="H330" s="49"/>
      <c r="I330" s="49"/>
      <c r="J330" s="49"/>
      <c r="K330" s="49"/>
      <c r="L330" s="49"/>
      <c r="M330" s="49"/>
      <c r="N330" s="83"/>
      <c r="O330" s="83"/>
      <c r="P330" s="52"/>
    </row>
    <row r="331" spans="2:16" ht="43.2" hidden="1" x14ac:dyDescent="0.3">
      <c r="B331" s="33" t="s">
        <v>642</v>
      </c>
      <c r="C331" s="34" t="s">
        <v>643</v>
      </c>
      <c r="D331" s="28">
        <f t="shared" si="57"/>
        <v>0</v>
      </c>
      <c r="E331" s="50">
        <f t="shared" ref="E331:M331" si="61">SUM(E332:E335)</f>
        <v>0</v>
      </c>
      <c r="F331" s="50">
        <f t="shared" si="61"/>
        <v>0</v>
      </c>
      <c r="G331" s="50">
        <f t="shared" si="61"/>
        <v>0</v>
      </c>
      <c r="H331" s="50">
        <f t="shared" si="61"/>
        <v>0</v>
      </c>
      <c r="I331" s="50">
        <f t="shared" si="61"/>
        <v>0</v>
      </c>
      <c r="J331" s="50">
        <f>SUM(J332:J335)</f>
        <v>0</v>
      </c>
      <c r="K331" s="50">
        <f t="shared" si="61"/>
        <v>0</v>
      </c>
      <c r="L331" s="50">
        <f t="shared" si="61"/>
        <v>0</v>
      </c>
      <c r="M331" s="50">
        <f t="shared" si="61"/>
        <v>0</v>
      </c>
      <c r="N331" s="31" t="str">
        <f>IF((D331=D$10)*AND(E331=E$10)*AND(F331=F$10)*AND(G331=G$10)*AND(H331=H$10)*AND(I331=I$10)*AND(K331=K$10)*AND(L331=L$10)*AND(M331=M$10)*AND(J331=J$10),"Выполнено","ПРОВЕРИТЬ (во всех муниципальных образованиях должен быть урегулирован статус глав)")</f>
        <v>ПРОВЕРИТЬ (во всех муниципальных образованиях должен быть урегулирован статус глав)</v>
      </c>
      <c r="O331" s="31" t="str">
        <f>IF(((D331=0)),"   ","Нужно заполнить пункт 43 текстовой части - о способах избрания и полномочиях глав муниципальных образований")</f>
        <v xml:space="preserve">   </v>
      </c>
      <c r="P331" s="52"/>
    </row>
    <row r="332" spans="2:16" ht="28.8" hidden="1" x14ac:dyDescent="0.3">
      <c r="B332" s="33" t="s">
        <v>644</v>
      </c>
      <c r="C332" s="34" t="s">
        <v>645</v>
      </c>
      <c r="D332" s="28">
        <f t="shared" si="57"/>
        <v>0</v>
      </c>
      <c r="E332" s="49"/>
      <c r="F332" s="49"/>
      <c r="G332" s="49"/>
      <c r="H332" s="49"/>
      <c r="I332" s="49"/>
      <c r="J332" s="49"/>
      <c r="K332" s="49"/>
      <c r="L332" s="49"/>
      <c r="M332" s="49"/>
      <c r="N332" s="83"/>
      <c r="O332" s="83"/>
      <c r="P332" s="52"/>
    </row>
    <row r="333" spans="2:16" hidden="1" x14ac:dyDescent="0.3">
      <c r="B333" s="33" t="s">
        <v>646</v>
      </c>
      <c r="C333" s="34" t="s">
        <v>647</v>
      </c>
      <c r="D333" s="28">
        <f t="shared" si="57"/>
        <v>0</v>
      </c>
      <c r="E333" s="49"/>
      <c r="F333" s="49"/>
      <c r="G333" s="49"/>
      <c r="H333" s="49"/>
      <c r="I333" s="49"/>
      <c r="J333" s="49"/>
      <c r="K333" s="49"/>
      <c r="L333" s="49"/>
      <c r="M333" s="49"/>
      <c r="N333" s="83"/>
      <c r="O333" s="83"/>
      <c r="P333" s="52"/>
    </row>
    <row r="334" spans="2:16" ht="43.2" hidden="1" x14ac:dyDescent="0.3">
      <c r="B334" s="33" t="s">
        <v>648</v>
      </c>
      <c r="C334" s="34" t="s">
        <v>649</v>
      </c>
      <c r="D334" s="28">
        <f>G334+M334</f>
        <v>0</v>
      </c>
      <c r="E334" s="64"/>
      <c r="F334" s="64"/>
      <c r="G334" s="49"/>
      <c r="H334" s="64"/>
      <c r="I334" s="64"/>
      <c r="J334" s="64"/>
      <c r="K334" s="64"/>
      <c r="L334" s="64"/>
      <c r="M334" s="49"/>
      <c r="N334" s="83"/>
      <c r="O334" s="83"/>
      <c r="P334" s="52"/>
    </row>
    <row r="335" spans="2:16" ht="43.2" hidden="1" x14ac:dyDescent="0.3">
      <c r="B335" s="33" t="s">
        <v>650</v>
      </c>
      <c r="C335" s="34" t="s">
        <v>651</v>
      </c>
      <c r="D335" s="28">
        <f t="shared" si="57"/>
        <v>0</v>
      </c>
      <c r="E335" s="49"/>
      <c r="F335" s="49"/>
      <c r="G335" s="49"/>
      <c r="H335" s="49"/>
      <c r="I335" s="49"/>
      <c r="J335" s="49"/>
      <c r="K335" s="49"/>
      <c r="L335" s="49"/>
      <c r="M335" s="49"/>
      <c r="N335" s="83"/>
      <c r="O335" s="83"/>
      <c r="P335" s="81"/>
    </row>
    <row r="336" spans="2:16" ht="86.4" hidden="1" x14ac:dyDescent="0.3">
      <c r="B336" s="33" t="s">
        <v>652</v>
      </c>
      <c r="C336" s="34" t="s">
        <v>653</v>
      </c>
      <c r="D336" s="28">
        <f t="shared" si="57"/>
        <v>0</v>
      </c>
      <c r="E336" s="49"/>
      <c r="F336" s="49"/>
      <c r="G336" s="49"/>
      <c r="H336" s="49"/>
      <c r="I336" s="49"/>
      <c r="J336" s="49"/>
      <c r="K336" s="49"/>
      <c r="L336" s="49"/>
      <c r="M336" s="49"/>
      <c r="N336" s="31" t="str">
        <f>IF((D336&lt;=D$10)*AND(E336&lt;=E$10)*AND(F336&lt;=F$10)*AND(G336&lt;=G$10)*AND(H336&lt;=H$10)*AND(I336&lt;=I$10)*AND(K336&lt;=K$10)*AND(L336&lt;=L$10)*AND(M336&lt;=M$10)*AND(J336&lt;=J$10),"Выполнено","ПРОВЕРИТЬ (таких муниципальных образований не может быть больше их общего числа)")</f>
        <v>Выполнено</v>
      </c>
      <c r="O336" s="31" t="str">
        <f>IF(((D336=0)),"   ","Нужно заполнить пункт 44 текстовой части - о муниципалитетах, соответствующих критериях, установленных законом субъекта Российской Федерации согласно решению КС РФ № 30-П")</f>
        <v xml:space="preserve">   </v>
      </c>
      <c r="P336" s="81"/>
    </row>
    <row r="337" spans="2:16" ht="57.6" hidden="1" x14ac:dyDescent="0.3">
      <c r="B337" s="33" t="s">
        <v>654</v>
      </c>
      <c r="C337" s="34" t="s">
        <v>655</v>
      </c>
      <c r="D337" s="28">
        <f t="shared" si="57"/>
        <v>0</v>
      </c>
      <c r="E337" s="50">
        <f>SUM(E338:E346)</f>
        <v>0</v>
      </c>
      <c r="F337" s="50">
        <f t="shared" ref="F337:G337" si="62">SUM(F338:F346)</f>
        <v>0</v>
      </c>
      <c r="G337" s="50">
        <f t="shared" si="62"/>
        <v>0</v>
      </c>
      <c r="H337" s="50">
        <f>SUM(H338:H346)</f>
        <v>0</v>
      </c>
      <c r="I337" s="50">
        <f>SUM(I338:I346)</f>
        <v>0</v>
      </c>
      <c r="J337" s="50">
        <f>SUM(J338:J346)</f>
        <v>0</v>
      </c>
      <c r="K337" s="50">
        <f t="shared" ref="K337:M337" si="63">SUM(K338:K346)</f>
        <v>0</v>
      </c>
      <c r="L337" s="50">
        <f t="shared" si="63"/>
        <v>0</v>
      </c>
      <c r="M337" s="50">
        <f t="shared" si="63"/>
        <v>0</v>
      </c>
      <c r="N337" s="31" t="str">
        <f>IF((D337=D139)*AND(E337=E139)*AND(F337=F139)*AND(G337=G139)*AND(H337=H139)*AND(I337=I139)*AND(K337=K139)*AND(L337=L139)*AND(M337=M139)*AND(J337=J139),"Выполнено","ПРОВЕРИТЬ (в уставах всех муниципальных образованиях должен быть урегулирован способ избрания глав)")</f>
        <v>ПРОВЕРИТЬ (в уставах всех муниципальных образованиях должен быть урегулирован способ избрания глав)</v>
      </c>
      <c r="O337" s="31" t="str">
        <f>IF(((D337=0)),"   ","Нужно заполнить пункт 43 текстовой части - о способах избрания и полномочиях глав муниципальных образований")</f>
        <v xml:space="preserve">   </v>
      </c>
      <c r="P337" s="81"/>
    </row>
    <row r="338" spans="2:16" ht="28.8" hidden="1" x14ac:dyDescent="0.3">
      <c r="B338" s="33" t="s">
        <v>656</v>
      </c>
      <c r="C338" s="34" t="s">
        <v>657</v>
      </c>
      <c r="D338" s="28">
        <f t="shared" si="57"/>
        <v>0</v>
      </c>
      <c r="E338" s="49"/>
      <c r="F338" s="49"/>
      <c r="G338" s="49"/>
      <c r="H338" s="49"/>
      <c r="I338" s="49"/>
      <c r="J338" s="49"/>
      <c r="K338" s="49"/>
      <c r="L338" s="49"/>
      <c r="M338" s="49"/>
      <c r="N338" s="83"/>
      <c r="O338" s="31" t="str">
        <f>IF(((D338=0)),"   ","Нужно заполнить пункт 45 текстовой части - о главах, избранных на выборах и исполняющих обязанности председателей")</f>
        <v xml:space="preserve">   </v>
      </c>
      <c r="P338" s="81"/>
    </row>
    <row r="339" spans="2:16" ht="28.8" hidden="1" x14ac:dyDescent="0.3">
      <c r="B339" s="33" t="s">
        <v>658</v>
      </c>
      <c r="C339" s="34" t="s">
        <v>659</v>
      </c>
      <c r="D339" s="28">
        <f t="shared" si="57"/>
        <v>0</v>
      </c>
      <c r="E339" s="49"/>
      <c r="F339" s="49"/>
      <c r="G339" s="29"/>
      <c r="H339" s="49"/>
      <c r="I339" s="49"/>
      <c r="J339" s="49"/>
      <c r="K339" s="49"/>
      <c r="L339" s="49"/>
      <c r="M339" s="49"/>
      <c r="N339" s="83"/>
      <c r="O339" s="83"/>
      <c r="P339" s="81"/>
    </row>
    <row r="340" spans="2:16" ht="43.2" hidden="1" x14ac:dyDescent="0.3">
      <c r="B340" s="33" t="s">
        <v>660</v>
      </c>
      <c r="C340" s="34" t="s">
        <v>661</v>
      </c>
      <c r="D340" s="28">
        <f>G340+M340</f>
        <v>0</v>
      </c>
      <c r="E340" s="23"/>
      <c r="F340" s="25"/>
      <c r="G340" s="29"/>
      <c r="H340" s="23"/>
      <c r="I340" s="24"/>
      <c r="J340" s="24"/>
      <c r="K340" s="24"/>
      <c r="L340" s="25"/>
      <c r="M340" s="49"/>
      <c r="N340" s="83"/>
      <c r="O340" s="83"/>
      <c r="P340" s="80"/>
    </row>
    <row r="341" spans="2:16" ht="28.8" hidden="1" x14ac:dyDescent="0.3">
      <c r="B341" s="33" t="s">
        <v>662</v>
      </c>
      <c r="C341" s="34" t="s">
        <v>663</v>
      </c>
      <c r="D341" s="28">
        <f t="shared" si="57"/>
        <v>0</v>
      </c>
      <c r="E341" s="49"/>
      <c r="F341" s="49"/>
      <c r="G341" s="29"/>
      <c r="H341" s="49"/>
      <c r="I341" s="49"/>
      <c r="J341" s="49"/>
      <c r="K341" s="49"/>
      <c r="L341" s="49"/>
      <c r="M341" s="49"/>
      <c r="N341" s="83"/>
      <c r="O341" s="83"/>
      <c r="P341" s="90"/>
    </row>
    <row r="342" spans="2:16" ht="28.8" hidden="1" x14ac:dyDescent="0.3">
      <c r="B342" s="33" t="s">
        <v>664</v>
      </c>
      <c r="C342" s="34" t="s">
        <v>665</v>
      </c>
      <c r="D342" s="28">
        <f t="shared" si="57"/>
        <v>0</v>
      </c>
      <c r="E342" s="49"/>
      <c r="F342" s="49"/>
      <c r="G342" s="49"/>
      <c r="H342" s="49"/>
      <c r="I342" s="49"/>
      <c r="J342" s="49"/>
      <c r="K342" s="49"/>
      <c r="L342" s="49"/>
      <c r="M342" s="49"/>
      <c r="N342" s="83"/>
      <c r="O342" s="31" t="str">
        <f>IF(((D342=0)),"   ","Нужно заполнить пункт 45 текстовой части - о главах, избранных из состава депутатов и возглавляющих местные администрации")</f>
        <v xml:space="preserve">   </v>
      </c>
      <c r="P342" s="90"/>
    </row>
    <row r="343" spans="2:16" ht="43.2" hidden="1" x14ac:dyDescent="0.3">
      <c r="B343" s="33" t="s">
        <v>666</v>
      </c>
      <c r="C343" s="34" t="s">
        <v>667</v>
      </c>
      <c r="D343" s="28">
        <f>G343+M343</f>
        <v>0</v>
      </c>
      <c r="E343" s="23"/>
      <c r="F343" s="25"/>
      <c r="G343" s="29"/>
      <c r="H343" s="23"/>
      <c r="I343" s="24"/>
      <c r="J343" s="24"/>
      <c r="K343" s="24"/>
      <c r="L343" s="25"/>
      <c r="M343" s="49"/>
      <c r="N343" s="83"/>
      <c r="O343" s="83"/>
      <c r="P343" s="81"/>
    </row>
    <row r="344" spans="2:16" ht="28.8" hidden="1" x14ac:dyDescent="0.3">
      <c r="B344" s="33" t="s">
        <v>668</v>
      </c>
      <c r="C344" s="34" t="s">
        <v>669</v>
      </c>
      <c r="D344" s="28">
        <f t="shared" si="57"/>
        <v>0</v>
      </c>
      <c r="E344" s="49"/>
      <c r="F344" s="49"/>
      <c r="G344" s="29"/>
      <c r="H344" s="49"/>
      <c r="I344" s="49"/>
      <c r="J344" s="49"/>
      <c r="K344" s="49"/>
      <c r="L344" s="49"/>
      <c r="M344" s="49"/>
      <c r="N344" s="83"/>
      <c r="O344" s="83"/>
      <c r="P344" s="80"/>
    </row>
    <row r="345" spans="2:16" ht="43.2" hidden="1" x14ac:dyDescent="0.3">
      <c r="B345" s="33" t="s">
        <v>670</v>
      </c>
      <c r="C345" s="34" t="s">
        <v>671</v>
      </c>
      <c r="D345" s="28">
        <f>G345+M345</f>
        <v>0</v>
      </c>
      <c r="E345" s="23"/>
      <c r="F345" s="25"/>
      <c r="G345" s="49"/>
      <c r="H345" s="23"/>
      <c r="I345" s="24"/>
      <c r="J345" s="24"/>
      <c r="K345" s="24"/>
      <c r="L345" s="25"/>
      <c r="M345" s="49"/>
      <c r="N345" s="83"/>
      <c r="O345" s="31" t="str">
        <f>IF(((D345=0)),"   ","Нужно заполнить пункт 45 текстовой части - о главах, избранных на конкурсной основе и совмещающих функции председателя и главы местной администрации")</f>
        <v xml:space="preserve">   </v>
      </c>
      <c r="P345" s="80"/>
    </row>
    <row r="346" spans="2:16" hidden="1" x14ac:dyDescent="0.3">
      <c r="B346" s="33" t="s">
        <v>672</v>
      </c>
      <c r="C346" s="34" t="s">
        <v>673</v>
      </c>
      <c r="D346" s="28">
        <f>F346+G346</f>
        <v>0</v>
      </c>
      <c r="E346" s="50"/>
      <c r="F346" s="49"/>
      <c r="G346" s="49"/>
      <c r="H346" s="23"/>
      <c r="I346" s="24"/>
      <c r="J346" s="24"/>
      <c r="K346" s="24"/>
      <c r="L346" s="24"/>
      <c r="M346" s="24"/>
      <c r="N346" s="31" t="str">
        <f>IF((F346=F254)*AND(G346=G254),"Выполнено","ПРОВЕРИТЬ (несовпадение по числам поселений, где полномочия представительного органа должен осуществлять сход граждан)")</f>
        <v>Выполнено</v>
      </c>
      <c r="O346" s="31" t="str">
        <f>IF(((D346=0)),"   ","Нужно заполнить пункт 46 текстовой части - о главах, избранных на сходах")</f>
        <v xml:space="preserve">   </v>
      </c>
      <c r="P346" s="80"/>
    </row>
    <row r="347" spans="2:16" ht="43.2" hidden="1" x14ac:dyDescent="0.3">
      <c r="B347" s="33" t="s">
        <v>674</v>
      </c>
      <c r="C347" s="34" t="s">
        <v>675</v>
      </c>
      <c r="D347" s="28">
        <f t="shared" si="57"/>
        <v>0</v>
      </c>
      <c r="E347" s="50">
        <f>SUM(E348:E356)</f>
        <v>0</v>
      </c>
      <c r="F347" s="50">
        <f t="shared" ref="F347:M347" si="64">SUM(F348:F356)</f>
        <v>0</v>
      </c>
      <c r="G347" s="50">
        <f t="shared" si="64"/>
        <v>0</v>
      </c>
      <c r="H347" s="50">
        <f>SUM(H348:H356)</f>
        <v>0</v>
      </c>
      <c r="I347" s="50">
        <f>SUM(I348:I356)</f>
        <v>0</v>
      </c>
      <c r="J347" s="50">
        <f>SUM(J348:J356)</f>
        <v>0</v>
      </c>
      <c r="K347" s="50">
        <f t="shared" si="64"/>
        <v>0</v>
      </c>
      <c r="L347" s="50">
        <f t="shared" si="64"/>
        <v>0</v>
      </c>
      <c r="M347" s="50">
        <f t="shared" si="64"/>
        <v>0</v>
      </c>
      <c r="N347" s="83"/>
      <c r="O347" s="31" t="str">
        <f>IF(((D347=0)),"   ","Нужно заполнить пункт 43 текстовой части - о способах избрания и полномочиях глав муниципальных образований")</f>
        <v xml:space="preserve">   </v>
      </c>
      <c r="P347" s="80"/>
    </row>
    <row r="348" spans="2:16" ht="28.8" hidden="1" x14ac:dyDescent="0.3">
      <c r="B348" s="33" t="s">
        <v>676</v>
      </c>
      <c r="C348" s="34" t="s">
        <v>677</v>
      </c>
      <c r="D348" s="28">
        <f t="shared" si="57"/>
        <v>0</v>
      </c>
      <c r="E348" s="49"/>
      <c r="F348" s="49"/>
      <c r="G348" s="49"/>
      <c r="H348" s="49"/>
      <c r="I348" s="49"/>
      <c r="J348" s="49"/>
      <c r="K348" s="49"/>
      <c r="L348" s="49"/>
      <c r="M348" s="49"/>
      <c r="N348" s="83"/>
      <c r="O348" s="31" t="str">
        <f>IF(((D348=0)),"   ","Нужно заполнить пункт 45 текстовой части - о главах, избранных на выборах и исполняющих обязанности председателей")</f>
        <v xml:space="preserve">   </v>
      </c>
      <c r="P348" s="81"/>
    </row>
    <row r="349" spans="2:16" ht="28.8" hidden="1" x14ac:dyDescent="0.3">
      <c r="B349" s="33" t="s">
        <v>678</v>
      </c>
      <c r="C349" s="34" t="s">
        <v>679</v>
      </c>
      <c r="D349" s="28">
        <f t="shared" si="57"/>
        <v>0</v>
      </c>
      <c r="E349" s="49"/>
      <c r="F349" s="49"/>
      <c r="G349" s="29"/>
      <c r="H349" s="49"/>
      <c r="I349" s="49"/>
      <c r="J349" s="49"/>
      <c r="K349" s="49"/>
      <c r="L349" s="49"/>
      <c r="M349" s="49"/>
      <c r="N349" s="83"/>
      <c r="O349" s="83"/>
      <c r="P349" s="80"/>
    </row>
    <row r="350" spans="2:16" ht="43.2" hidden="1" x14ac:dyDescent="0.3">
      <c r="B350" s="33" t="s">
        <v>680</v>
      </c>
      <c r="C350" s="34" t="s">
        <v>681</v>
      </c>
      <c r="D350" s="28">
        <f>G350+M350</f>
        <v>0</v>
      </c>
      <c r="E350" s="23"/>
      <c r="F350" s="25"/>
      <c r="G350" s="29"/>
      <c r="H350" s="23"/>
      <c r="I350" s="24"/>
      <c r="J350" s="24"/>
      <c r="K350" s="24"/>
      <c r="L350" s="25"/>
      <c r="M350" s="49"/>
      <c r="N350" s="83"/>
      <c r="O350" s="83"/>
      <c r="P350" s="80"/>
    </row>
    <row r="351" spans="2:16" ht="28.8" hidden="1" x14ac:dyDescent="0.3">
      <c r="B351" s="33" t="s">
        <v>682</v>
      </c>
      <c r="C351" s="34" t="s">
        <v>683</v>
      </c>
      <c r="D351" s="28">
        <f t="shared" si="57"/>
        <v>0</v>
      </c>
      <c r="E351" s="49"/>
      <c r="F351" s="49"/>
      <c r="G351" s="29"/>
      <c r="H351" s="49"/>
      <c r="I351" s="49"/>
      <c r="J351" s="49"/>
      <c r="K351" s="49"/>
      <c r="L351" s="49"/>
      <c r="M351" s="49"/>
      <c r="N351" s="83"/>
      <c r="O351" s="83"/>
      <c r="P351" s="81"/>
    </row>
    <row r="352" spans="2:16" ht="28.8" hidden="1" x14ac:dyDescent="0.3">
      <c r="B352" s="33" t="s">
        <v>684</v>
      </c>
      <c r="C352" s="34" t="s">
        <v>685</v>
      </c>
      <c r="D352" s="28">
        <f t="shared" si="57"/>
        <v>0</v>
      </c>
      <c r="E352" s="49"/>
      <c r="F352" s="49"/>
      <c r="G352" s="49"/>
      <c r="H352" s="49"/>
      <c r="I352" s="49"/>
      <c r="J352" s="49"/>
      <c r="K352" s="49"/>
      <c r="L352" s="49"/>
      <c r="M352" s="49"/>
      <c r="N352" s="83"/>
      <c r="O352" s="31" t="str">
        <f>IF(((D352=0)),"   ","Нужно заполнить пункт 45 текстовой части - о главах, избранных из состава депутатов и возглавляющих местные администрации")</f>
        <v xml:space="preserve">   </v>
      </c>
      <c r="P352" s="80"/>
    </row>
    <row r="353" spans="2:16" ht="43.2" hidden="1" x14ac:dyDescent="0.3">
      <c r="B353" s="33" t="s">
        <v>686</v>
      </c>
      <c r="C353" s="34" t="s">
        <v>687</v>
      </c>
      <c r="D353" s="28">
        <f>G353+M353</f>
        <v>0</v>
      </c>
      <c r="E353" s="23"/>
      <c r="F353" s="25"/>
      <c r="G353" s="29"/>
      <c r="H353" s="23"/>
      <c r="I353" s="24"/>
      <c r="J353" s="24"/>
      <c r="K353" s="24"/>
      <c r="L353" s="25"/>
      <c r="M353" s="49"/>
      <c r="N353" s="83"/>
      <c r="O353" s="83"/>
      <c r="P353" s="80"/>
    </row>
    <row r="354" spans="2:16" ht="28.8" hidden="1" x14ac:dyDescent="0.3">
      <c r="B354" s="33" t="s">
        <v>688</v>
      </c>
      <c r="C354" s="34" t="s">
        <v>689</v>
      </c>
      <c r="D354" s="28">
        <f t="shared" si="57"/>
        <v>0</v>
      </c>
      <c r="E354" s="49"/>
      <c r="F354" s="49"/>
      <c r="G354" s="29"/>
      <c r="H354" s="49"/>
      <c r="I354" s="49"/>
      <c r="J354" s="49"/>
      <c r="K354" s="49"/>
      <c r="L354" s="49"/>
      <c r="M354" s="49"/>
      <c r="N354" s="83"/>
      <c r="O354" s="83"/>
      <c r="P354" s="80"/>
    </row>
    <row r="355" spans="2:16" ht="43.2" hidden="1" x14ac:dyDescent="0.3">
      <c r="B355" s="33" t="s">
        <v>690</v>
      </c>
      <c r="C355" s="34" t="s">
        <v>691</v>
      </c>
      <c r="D355" s="28">
        <f>G355+M355</f>
        <v>0</v>
      </c>
      <c r="E355" s="23"/>
      <c r="F355" s="25"/>
      <c r="G355" s="49"/>
      <c r="H355" s="23"/>
      <c r="I355" s="24"/>
      <c r="J355" s="24"/>
      <c r="K355" s="24"/>
      <c r="L355" s="25"/>
      <c r="M355" s="49"/>
      <c r="N355" s="83"/>
      <c r="O355" s="31" t="str">
        <f>IF(((D355=0)),"   ","Нужно заполнить пункт 45 текстовой части - о главах, избранных на конкурсной основе и совмещающих функции председателя и главы местной администрации")</f>
        <v xml:space="preserve">   </v>
      </c>
      <c r="P355" s="80"/>
    </row>
    <row r="356" spans="2:16" hidden="1" x14ac:dyDescent="0.3">
      <c r="B356" s="33" t="s">
        <v>692</v>
      </c>
      <c r="C356" s="34" t="s">
        <v>693</v>
      </c>
      <c r="D356" s="28">
        <f>F356+G356</f>
        <v>0</v>
      </c>
      <c r="E356" s="50"/>
      <c r="F356" s="49"/>
      <c r="G356" s="49"/>
      <c r="H356" s="23"/>
      <c r="I356" s="24"/>
      <c r="J356" s="24"/>
      <c r="K356" s="24"/>
      <c r="L356" s="24"/>
      <c r="M356" s="24"/>
      <c r="N356" s="83"/>
      <c r="O356" s="31" t="str">
        <f>IF(((D356=0)),"   ","Нужно заполнить пункт 46 текстовой части - о главах, избранных на сходах")</f>
        <v xml:space="preserve">   </v>
      </c>
      <c r="P356" s="80"/>
    </row>
    <row r="357" spans="2:16" ht="28.8" hidden="1" x14ac:dyDescent="0.3">
      <c r="B357" s="21" t="s">
        <v>694</v>
      </c>
      <c r="C357" s="1" t="s">
        <v>695</v>
      </c>
      <c r="D357" s="28">
        <f t="shared" ref="D357:D371" si="65">SUM(E357:I357)+SUM(K357:M357)</f>
        <v>0</v>
      </c>
      <c r="E357" s="50">
        <f t="shared" ref="E357:M357" si="66">E358+E359+E360</f>
        <v>0</v>
      </c>
      <c r="F357" s="50">
        <f t="shared" si="66"/>
        <v>0</v>
      </c>
      <c r="G357" s="50">
        <f t="shared" si="66"/>
        <v>0</v>
      </c>
      <c r="H357" s="50">
        <f t="shared" si="66"/>
        <v>0</v>
      </c>
      <c r="I357" s="50">
        <f t="shared" si="66"/>
        <v>0</v>
      </c>
      <c r="J357" s="50">
        <f t="shared" si="66"/>
        <v>0</v>
      </c>
      <c r="K357" s="50">
        <f t="shared" si="66"/>
        <v>0</v>
      </c>
      <c r="L357" s="50">
        <f t="shared" si="66"/>
        <v>0</v>
      </c>
      <c r="M357" s="50">
        <f t="shared" si="66"/>
        <v>0</v>
      </c>
      <c r="N357" s="31" t="str">
        <f>IF((D357=D347)*AND(E357=E347)*AND(F357=F347)*AND(G357=G347)*AND(H357=H347)*AND(I357=I347)*AND(K357=K347)*AND(L357=L347)*AND(M357=M347)*AND(J357=J347),"Выполнено","ПРОВЕРИТЬ - по количеству действующих глав муниципальных образований)")</f>
        <v>Выполнено</v>
      </c>
      <c r="O357" s="83"/>
      <c r="P357" s="80"/>
    </row>
    <row r="358" spans="2:16" hidden="1" x14ac:dyDescent="0.3">
      <c r="B358" s="21" t="s">
        <v>696</v>
      </c>
      <c r="C358" s="1" t="s">
        <v>522</v>
      </c>
      <c r="D358" s="28">
        <f t="shared" si="65"/>
        <v>0</v>
      </c>
      <c r="E358" s="29"/>
      <c r="F358" s="29"/>
      <c r="G358" s="29"/>
      <c r="H358" s="29"/>
      <c r="I358" s="29"/>
      <c r="J358" s="29"/>
      <c r="K358" s="29"/>
      <c r="L358" s="29"/>
      <c r="M358" s="29"/>
      <c r="N358" s="30"/>
      <c r="O358" s="30"/>
      <c r="P358" s="80"/>
    </row>
    <row r="359" spans="2:16" hidden="1" x14ac:dyDescent="0.3">
      <c r="B359" s="21" t="s">
        <v>697</v>
      </c>
      <c r="C359" s="1" t="s">
        <v>524</v>
      </c>
      <c r="D359" s="28">
        <f>SUM(E359:I359)+SUM(K359:M359)</f>
        <v>0</v>
      </c>
      <c r="E359" s="29"/>
      <c r="F359" s="29"/>
      <c r="G359" s="29"/>
      <c r="H359" s="29"/>
      <c r="I359" s="29"/>
      <c r="J359" s="29"/>
      <c r="K359" s="29"/>
      <c r="L359" s="29"/>
      <c r="M359" s="29"/>
      <c r="N359" s="30"/>
      <c r="O359" s="30"/>
      <c r="P359" s="80"/>
    </row>
    <row r="360" spans="2:16" hidden="1" x14ac:dyDescent="0.3">
      <c r="B360" s="21" t="s">
        <v>698</v>
      </c>
      <c r="C360" s="1" t="s">
        <v>526</v>
      </c>
      <c r="D360" s="28">
        <f t="shared" si="65"/>
        <v>0</v>
      </c>
      <c r="E360" s="29"/>
      <c r="F360" s="29"/>
      <c r="G360" s="29"/>
      <c r="H360" s="29"/>
      <c r="I360" s="29"/>
      <c r="J360" s="29"/>
      <c r="K360" s="29"/>
      <c r="L360" s="29"/>
      <c r="M360" s="29"/>
      <c r="N360" s="30"/>
      <c r="O360" s="30"/>
      <c r="P360" s="80"/>
    </row>
    <row r="361" spans="2:16" ht="28.8" hidden="1" x14ac:dyDescent="0.3">
      <c r="B361" s="115" t="s">
        <v>699</v>
      </c>
      <c r="C361" s="120" t="s">
        <v>700</v>
      </c>
      <c r="D361" s="28">
        <f t="shared" si="65"/>
        <v>0</v>
      </c>
      <c r="E361" s="50">
        <f>SUM(E362:E366)</f>
        <v>0</v>
      </c>
      <c r="F361" s="50">
        <f t="shared" ref="F361:M361" si="67">SUM(F362:F366)</f>
        <v>0</v>
      </c>
      <c r="G361" s="50">
        <f t="shared" si="67"/>
        <v>0</v>
      </c>
      <c r="H361" s="50">
        <f t="shared" si="67"/>
        <v>0</v>
      </c>
      <c r="I361" s="50">
        <f t="shared" si="67"/>
        <v>0</v>
      </c>
      <c r="J361" s="50">
        <f>SUM(J362:J366)</f>
        <v>0</v>
      </c>
      <c r="K361" s="50">
        <f t="shared" si="67"/>
        <v>0</v>
      </c>
      <c r="L361" s="50">
        <f t="shared" si="67"/>
        <v>0</v>
      </c>
      <c r="M361" s="50">
        <f t="shared" si="67"/>
        <v>0</v>
      </c>
      <c r="N361" s="31" t="str">
        <f>IF((D361=D347)*AND(E361=E347)*AND(F361=F347)*AND(G361=G347)*AND(H361=H347)*AND(I361=I347)*AND(K361=K347)*AND(L361=L347)*AND(M361=M347)*AND(J361=J347),"Выполнено","ПРОВЕРИТЬ - по количеству действующих глав муниципальных образований)")</f>
        <v>Выполнено</v>
      </c>
      <c r="O361" s="30"/>
      <c r="P361" s="80"/>
    </row>
    <row r="362" spans="2:16" hidden="1" x14ac:dyDescent="0.3">
      <c r="B362" s="115" t="s">
        <v>701</v>
      </c>
      <c r="C362" s="120" t="s">
        <v>702</v>
      </c>
      <c r="D362" s="28">
        <f t="shared" si="65"/>
        <v>0</v>
      </c>
      <c r="E362" s="29"/>
      <c r="F362" s="29"/>
      <c r="G362" s="29"/>
      <c r="H362" s="29"/>
      <c r="I362" s="29"/>
      <c r="J362" s="29"/>
      <c r="K362" s="29"/>
      <c r="L362" s="29"/>
      <c r="M362" s="29"/>
      <c r="N362" s="30"/>
      <c r="O362" s="30"/>
      <c r="P362" s="80"/>
    </row>
    <row r="363" spans="2:16" hidden="1" x14ac:dyDescent="0.3">
      <c r="B363" s="115" t="s">
        <v>703</v>
      </c>
      <c r="C363" s="120" t="s">
        <v>704</v>
      </c>
      <c r="D363" s="28">
        <f t="shared" si="65"/>
        <v>0</v>
      </c>
      <c r="E363" s="29"/>
      <c r="F363" s="29"/>
      <c r="G363" s="29"/>
      <c r="H363" s="29"/>
      <c r="I363" s="29"/>
      <c r="J363" s="29"/>
      <c r="K363" s="29"/>
      <c r="L363" s="29"/>
      <c r="M363" s="29"/>
      <c r="N363" s="30"/>
      <c r="O363" s="30"/>
      <c r="P363" s="80"/>
    </row>
    <row r="364" spans="2:16" hidden="1" x14ac:dyDescent="0.3">
      <c r="B364" s="21" t="s">
        <v>705</v>
      </c>
      <c r="C364" s="120" t="s">
        <v>706</v>
      </c>
      <c r="D364" s="28">
        <f t="shared" si="65"/>
        <v>0</v>
      </c>
      <c r="E364" s="29"/>
      <c r="F364" s="29"/>
      <c r="G364" s="29"/>
      <c r="H364" s="29"/>
      <c r="I364" s="29"/>
      <c r="J364" s="29"/>
      <c r="K364" s="29"/>
      <c r="L364" s="29"/>
      <c r="M364" s="29"/>
      <c r="N364" s="30"/>
      <c r="O364" s="30"/>
      <c r="P364" s="80"/>
    </row>
    <row r="365" spans="2:16" hidden="1" x14ac:dyDescent="0.3">
      <c r="B365" s="21" t="s">
        <v>707</v>
      </c>
      <c r="C365" s="120" t="s">
        <v>708</v>
      </c>
      <c r="D365" s="28">
        <f t="shared" si="65"/>
        <v>0</v>
      </c>
      <c r="E365" s="29"/>
      <c r="F365" s="29"/>
      <c r="G365" s="29"/>
      <c r="H365" s="29"/>
      <c r="I365" s="29"/>
      <c r="J365" s="29"/>
      <c r="K365" s="29"/>
      <c r="L365" s="29"/>
      <c r="M365" s="29"/>
      <c r="N365" s="30"/>
      <c r="O365" s="30"/>
      <c r="P365" s="80"/>
    </row>
    <row r="366" spans="2:16" hidden="1" x14ac:dyDescent="0.3">
      <c r="B366" s="21" t="s">
        <v>709</v>
      </c>
      <c r="C366" s="120" t="s">
        <v>710</v>
      </c>
      <c r="D366" s="28">
        <f t="shared" si="65"/>
        <v>0</v>
      </c>
      <c r="E366" s="29"/>
      <c r="F366" s="29"/>
      <c r="G366" s="29"/>
      <c r="H366" s="29"/>
      <c r="I366" s="29"/>
      <c r="J366" s="29"/>
      <c r="K366" s="29"/>
      <c r="L366" s="29"/>
      <c r="M366" s="29"/>
      <c r="N366" s="30"/>
      <c r="O366" s="30"/>
      <c r="P366" s="80"/>
    </row>
    <row r="367" spans="2:16" ht="28.8" hidden="1" x14ac:dyDescent="0.3">
      <c r="B367" s="82" t="s">
        <v>711</v>
      </c>
      <c r="C367" s="120" t="s">
        <v>712</v>
      </c>
      <c r="D367" s="28">
        <f t="shared" si="65"/>
        <v>0</v>
      </c>
      <c r="E367" s="50">
        <f t="shared" ref="E367:M367" si="68">E368+E369</f>
        <v>0</v>
      </c>
      <c r="F367" s="50">
        <f t="shared" si="68"/>
        <v>0</v>
      </c>
      <c r="G367" s="50">
        <f t="shared" si="68"/>
        <v>0</v>
      </c>
      <c r="H367" s="50">
        <f t="shared" si="68"/>
        <v>0</v>
      </c>
      <c r="I367" s="50">
        <f t="shared" si="68"/>
        <v>0</v>
      </c>
      <c r="J367" s="50">
        <f t="shared" si="68"/>
        <v>0</v>
      </c>
      <c r="K367" s="50">
        <f t="shared" si="68"/>
        <v>0</v>
      </c>
      <c r="L367" s="50">
        <f t="shared" si="68"/>
        <v>0</v>
      </c>
      <c r="M367" s="50">
        <f t="shared" si="68"/>
        <v>0</v>
      </c>
      <c r="N367" s="31" t="str">
        <f>IF((D367=D347)*AND(E367=E347)*AND(F367=F347)*AND(G367=G347)*AND(H367=H347)*AND(I367=I347)*AND(K367=K347)*AND(L367=L347)*AND(M367=M347)*AND(J367=J347),"Выполнено","ПРОВЕРИТЬ (в сумме должно получаться общее количество глав)")</f>
        <v>Выполнено</v>
      </c>
      <c r="O367" s="83"/>
      <c r="P367" s="80"/>
    </row>
    <row r="368" spans="2:16" hidden="1" x14ac:dyDescent="0.3">
      <c r="B368" s="82" t="s">
        <v>713</v>
      </c>
      <c r="C368" s="120" t="s">
        <v>714</v>
      </c>
      <c r="D368" s="28">
        <f t="shared" si="65"/>
        <v>0</v>
      </c>
      <c r="E368" s="29"/>
      <c r="F368" s="29"/>
      <c r="G368" s="29"/>
      <c r="H368" s="29"/>
      <c r="I368" s="29"/>
      <c r="J368" s="29"/>
      <c r="K368" s="29"/>
      <c r="L368" s="29"/>
      <c r="M368" s="29"/>
      <c r="N368" s="83"/>
      <c r="O368" s="83"/>
      <c r="P368" s="80"/>
    </row>
    <row r="369" spans="2:16" hidden="1" x14ac:dyDescent="0.3">
      <c r="B369" s="33" t="s">
        <v>715</v>
      </c>
      <c r="C369" s="34" t="s">
        <v>716</v>
      </c>
      <c r="D369" s="28">
        <f t="shared" si="65"/>
        <v>0</v>
      </c>
      <c r="E369" s="49"/>
      <c r="F369" s="49"/>
      <c r="G369" s="29"/>
      <c r="H369" s="49"/>
      <c r="I369" s="49"/>
      <c r="J369" s="49"/>
      <c r="K369" s="49"/>
      <c r="L369" s="49"/>
      <c r="M369" s="49"/>
      <c r="N369" s="83"/>
      <c r="O369" s="31" t="str">
        <f>IF(((D369-G369=0)),"   ","Нужно заполнить пункт 47 текстовой части - о главах, работающих на непостоянной основе")</f>
        <v xml:space="preserve">   </v>
      </c>
      <c r="P369" s="80"/>
    </row>
    <row r="370" spans="2:16" ht="43.2" hidden="1" x14ac:dyDescent="0.3">
      <c r="B370" s="82" t="s">
        <v>717</v>
      </c>
      <c r="C370" s="120" t="s">
        <v>718</v>
      </c>
      <c r="D370" s="23"/>
      <c r="E370" s="24"/>
      <c r="F370" s="24"/>
      <c r="G370" s="24"/>
      <c r="H370" s="24"/>
      <c r="I370" s="24"/>
      <c r="J370" s="24"/>
      <c r="K370" s="24"/>
      <c r="L370" s="24"/>
      <c r="M370" s="24"/>
      <c r="N370" s="25"/>
      <c r="O370" s="25"/>
      <c r="P370" s="80"/>
    </row>
    <row r="371" spans="2:16" hidden="1" x14ac:dyDescent="0.3">
      <c r="B371" s="21" t="s">
        <v>719</v>
      </c>
      <c r="C371" s="1" t="s">
        <v>720</v>
      </c>
      <c r="D371" s="28">
        <f t="shared" si="65"/>
        <v>0</v>
      </c>
      <c r="E371" s="29"/>
      <c r="F371" s="29"/>
      <c r="G371" s="29"/>
      <c r="H371" s="29"/>
      <c r="I371" s="29"/>
      <c r="J371" s="29"/>
      <c r="K371" s="29"/>
      <c r="L371" s="29"/>
      <c r="M371" s="29"/>
      <c r="N371" s="31" t="str">
        <f>IF((D371&lt;=(D351+D352+D353))*AND(E371&lt;=(E351+E352))*AND(F371&lt;=(F351+F352))*AND(G371&lt;=(G351+G352+G353))*AND(H371&lt;=(H351+H352))*AND(I371&lt;=(I351+I352))*AND(K371&lt;=(K351+K352))*AND(L371&lt;=(L351+L352))*AND(M371&lt;=(M351+M352+M353))*AND(J371&lt;=(J351+J352)),"Выполнено","ПРОВЕРИТЬ (такое совмещение допустимо только для глав, избранных представительными органами из своего состава)")</f>
        <v>Выполнено</v>
      </c>
      <c r="O371" s="83"/>
      <c r="P371" s="80"/>
    </row>
    <row r="372" spans="2:16" ht="43.2" hidden="1" x14ac:dyDescent="0.3">
      <c r="B372" s="82" t="s">
        <v>721</v>
      </c>
      <c r="C372" s="120" t="s">
        <v>722</v>
      </c>
      <c r="D372" s="28">
        <f>E372+K372</f>
        <v>0</v>
      </c>
      <c r="E372" s="29"/>
      <c r="F372" s="23"/>
      <c r="G372" s="24"/>
      <c r="H372" s="24"/>
      <c r="I372" s="24"/>
      <c r="J372" s="25"/>
      <c r="K372" s="29"/>
      <c r="L372" s="23"/>
      <c r="M372" s="25"/>
      <c r="N372" s="31" t="str">
        <f>IF((E372&lt;=(E305+E306))*AND(K372&lt;=K307)*AND(E372&lt;=E371)*AND(K372&lt;=K371),"Выполнено","ПРОВЕРИТЬ (такое совмещение может быть следствием одновременного применения системы делегирования и избрания главы из состава депутатов)")</f>
        <v>Выполнено</v>
      </c>
      <c r="O372" s="83"/>
      <c r="P372" s="80"/>
    </row>
    <row r="373" spans="2:16" ht="43.2" hidden="1" x14ac:dyDescent="0.3">
      <c r="B373" s="82" t="s">
        <v>723</v>
      </c>
      <c r="C373" s="120" t="s">
        <v>724</v>
      </c>
      <c r="D373" s="28">
        <f>F373+G373+L373</f>
        <v>0</v>
      </c>
      <c r="E373" s="50"/>
      <c r="F373" s="29"/>
      <c r="G373" s="29"/>
      <c r="H373" s="24"/>
      <c r="I373" s="24"/>
      <c r="J373" s="24"/>
      <c r="K373" s="24"/>
      <c r="L373" s="29"/>
      <c r="M373" s="24"/>
      <c r="N373" s="31" t="str">
        <f>IF((F373&lt;=E305)*AND(G373&lt;=E306)*AND(L373&lt;=K307),"Выполнено","ПРОВЕРИТЬ (такое совмещение может быть следствием применения системы делегирования)")</f>
        <v>Выполнено</v>
      </c>
      <c r="O373" s="83"/>
      <c r="P373" s="80"/>
    </row>
    <row r="374" spans="2:16" ht="28.8" hidden="1" x14ac:dyDescent="0.3">
      <c r="B374" s="33" t="s">
        <v>725</v>
      </c>
      <c r="C374" s="34" t="s">
        <v>726</v>
      </c>
      <c r="D374" s="50">
        <f t="shared" ref="D374" si="69">SUM(D375:D377)</f>
        <v>0</v>
      </c>
      <c r="E374" s="55"/>
      <c r="F374" s="60"/>
      <c r="G374" s="60"/>
      <c r="H374" s="60"/>
      <c r="I374" s="60"/>
      <c r="J374" s="60"/>
      <c r="K374" s="60"/>
      <c r="L374" s="60"/>
      <c r="M374" s="60"/>
      <c r="N374" s="83"/>
      <c r="O374" s="31" t="str">
        <f>IF(((D374=0)),"   ","Нужно заполнить пункт 48 текстовой части - о главах, совмещающих работу в двух муниципальных образованиях")</f>
        <v xml:space="preserve">   </v>
      </c>
      <c r="P374" s="52"/>
    </row>
    <row r="375" spans="2:16" hidden="1" x14ac:dyDescent="0.3">
      <c r="B375" s="33" t="s">
        <v>727</v>
      </c>
      <c r="C375" s="34" t="s">
        <v>728</v>
      </c>
      <c r="D375" s="78"/>
      <c r="E375" s="54"/>
      <c r="F375" s="55"/>
      <c r="G375" s="55"/>
      <c r="H375" s="55"/>
      <c r="I375" s="55"/>
      <c r="J375" s="55"/>
      <c r="K375" s="55"/>
      <c r="L375" s="55"/>
      <c r="M375" s="55"/>
      <c r="N375" s="31" t="str">
        <f>IF((D375&lt;=(E351+E352))*AND(D375&lt;=D305),"Выполнено","ПРОВЕРИТЬ (такое совмещение допустимо только для глав муниципальных районов, избранных представительными органами из своего состава и возможно как одно из следствий применения системы делегирования)")</f>
        <v>Выполнено</v>
      </c>
      <c r="O375" s="83"/>
      <c r="P375" s="80"/>
    </row>
    <row r="376" spans="2:16" hidden="1" x14ac:dyDescent="0.3">
      <c r="B376" s="33" t="s">
        <v>729</v>
      </c>
      <c r="C376" s="34" t="s">
        <v>730</v>
      </c>
      <c r="D376" s="78"/>
      <c r="E376" s="54"/>
      <c r="F376" s="55"/>
      <c r="G376" s="55"/>
      <c r="H376" s="55"/>
      <c r="I376" s="55"/>
      <c r="J376" s="55"/>
      <c r="K376" s="55"/>
      <c r="L376" s="55"/>
      <c r="M376" s="55"/>
      <c r="N376" s="31" t="str">
        <f>IF((D376&lt;=(E351+E352))*AND(D376&lt;=D306),"Выполнено","ПРОВЕРИТЬ (такое совмещение допустимо только для глав муниципальных районов, избранных представительными органами из своего состава и возможно как одно из следствий применения системы делегирования)")</f>
        <v>Выполнено</v>
      </c>
      <c r="O376" s="83"/>
      <c r="P376" s="80"/>
    </row>
    <row r="377" spans="2:16" ht="28.8" hidden="1" x14ac:dyDescent="0.3">
      <c r="B377" s="33" t="s">
        <v>731</v>
      </c>
      <c r="C377" s="34" t="s">
        <v>732</v>
      </c>
      <c r="D377" s="78"/>
      <c r="E377" s="57"/>
      <c r="F377" s="48"/>
      <c r="G377" s="48"/>
      <c r="H377" s="48"/>
      <c r="I377" s="48"/>
      <c r="J377" s="48"/>
      <c r="K377" s="48"/>
      <c r="L377" s="48"/>
      <c r="M377" s="48"/>
      <c r="N377" s="31" t="str">
        <f>IF((D377&lt;=(K351+K352))*AND(D377&lt;=D307),"Выполнено","ПРОВЕРИТЬ (такое совмещение допустимо только для глав городских округов с делением, избранных представительными органами из своего состава и возможно как одно из следствий применения системы делегирования)")</f>
        <v>Выполнено</v>
      </c>
      <c r="O377" s="83"/>
      <c r="P377" s="80"/>
    </row>
    <row r="378" spans="2:16" ht="28.8" hidden="1" x14ac:dyDescent="0.3">
      <c r="B378" s="82" t="s">
        <v>733</v>
      </c>
      <c r="C378" s="120" t="s">
        <v>734</v>
      </c>
      <c r="D378" s="28">
        <f>D347-D374</f>
        <v>0</v>
      </c>
      <c r="E378" s="23"/>
      <c r="F378" s="24"/>
      <c r="G378" s="24"/>
      <c r="H378" s="24"/>
      <c r="I378" s="24"/>
      <c r="J378" s="24"/>
      <c r="K378" s="24"/>
      <c r="L378" s="24"/>
      <c r="M378" s="24"/>
      <c r="N378" s="24"/>
      <c r="O378" s="25"/>
      <c r="P378" s="80"/>
    </row>
    <row r="379" spans="2:16" ht="28.8" hidden="1" x14ac:dyDescent="0.3">
      <c r="B379" s="33" t="s">
        <v>735</v>
      </c>
      <c r="C379" s="34" t="s">
        <v>736</v>
      </c>
      <c r="D379" s="28">
        <f t="shared" ref="D379:D383" si="70">SUM(E379:I379)+SUM(K379:M379)</f>
        <v>0</v>
      </c>
      <c r="E379" s="49"/>
      <c r="F379" s="49"/>
      <c r="G379" s="49"/>
      <c r="H379" s="49"/>
      <c r="I379" s="49"/>
      <c r="J379" s="49"/>
      <c r="K379" s="49"/>
      <c r="L379" s="49"/>
      <c r="M379" s="49"/>
      <c r="N379" s="31" t="str">
        <f>IF((D379&lt;=D$347)*(E379&lt;=E$347)*AND(F379&lt;=F$347)*AND(G379&lt;=G$347)*AND(H379&lt;=H$347)*AND(I379&lt;=I$347)*AND(K379&lt;=K$347)*AND(L379&lt;=L$347)*AND(M379&lt;=M$347)*AND(J379&lt;=J$347),"Выполнено","ПРОВЕРИТЬ (таких глав муниципальных образований не может быть больше их общего числа)")</f>
        <v>Выполнено</v>
      </c>
      <c r="O379" s="31" t="str">
        <f>IF(((D379-G379=0)),"   ","Нужно заполнить пункт 59 текстовой части - о главах, временно отстраненных от должности")</f>
        <v xml:space="preserve">   </v>
      </c>
      <c r="P379" s="80"/>
    </row>
    <row r="380" spans="2:16" ht="28.8" hidden="1" x14ac:dyDescent="0.3">
      <c r="B380" s="21" t="s">
        <v>737</v>
      </c>
      <c r="C380" s="1" t="s">
        <v>738</v>
      </c>
      <c r="D380" s="28">
        <f t="shared" si="70"/>
        <v>0</v>
      </c>
      <c r="E380" s="50">
        <f t="shared" ref="E380:M380" si="71">E381+E382</f>
        <v>0</v>
      </c>
      <c r="F380" s="50">
        <f t="shared" si="71"/>
        <v>0</v>
      </c>
      <c r="G380" s="50">
        <f t="shared" si="71"/>
        <v>0</v>
      </c>
      <c r="H380" s="50">
        <f t="shared" si="71"/>
        <v>0</v>
      </c>
      <c r="I380" s="50">
        <f t="shared" si="71"/>
        <v>0</v>
      </c>
      <c r="J380" s="50">
        <f t="shared" si="71"/>
        <v>0</v>
      </c>
      <c r="K380" s="50">
        <f t="shared" si="71"/>
        <v>0</v>
      </c>
      <c r="L380" s="50">
        <f t="shared" si="71"/>
        <v>0</v>
      </c>
      <c r="M380" s="50">
        <f t="shared" si="71"/>
        <v>0</v>
      </c>
      <c r="N380" s="83"/>
      <c r="O380" s="83"/>
      <c r="P380" s="80"/>
    </row>
    <row r="381" spans="2:16" ht="28.8" hidden="1" x14ac:dyDescent="0.3">
      <c r="B381" s="33" t="s">
        <v>739</v>
      </c>
      <c r="C381" s="34" t="s">
        <v>740</v>
      </c>
      <c r="D381" s="28">
        <f t="shared" si="70"/>
        <v>0</v>
      </c>
      <c r="E381" s="49"/>
      <c r="F381" s="49"/>
      <c r="G381" s="49"/>
      <c r="H381" s="49"/>
      <c r="I381" s="49"/>
      <c r="J381" s="49"/>
      <c r="K381" s="49"/>
      <c r="L381" s="49"/>
      <c r="M381" s="49"/>
      <c r="N381" s="31" t="str">
        <f>IF((D381&lt;=D$10)*AND(E381&lt;=E$10)*AND(F381&lt;=F$10)*AND(G381&lt;=G$10)*AND(H381&lt;=H$10)*AND(I381&lt;=I$10)*AND(K381&lt;=K$10)*AND(L381&lt;=L$10)*AND(M381&lt;=M$10)*AND(J381&lt;=J$10),"Выполнено","ПРОВЕРИТЬ (таких муниципальных образований не может быть больше их общего числа)")</f>
        <v>Выполнено</v>
      </c>
      <c r="O381" s="31" t="str">
        <f>IF(((D381=0)),"   ","Нужно заполнить пункт 49 текстовой части - о муниципалитетах без действующих глав")</f>
        <v xml:space="preserve">   </v>
      </c>
      <c r="P381" s="80"/>
    </row>
    <row r="382" spans="2:16" ht="43.2" hidden="1" x14ac:dyDescent="0.3">
      <c r="B382" s="33" t="s">
        <v>741</v>
      </c>
      <c r="C382" s="34" t="s">
        <v>742</v>
      </c>
      <c r="D382" s="28">
        <f t="shared" si="70"/>
        <v>0</v>
      </c>
      <c r="E382" s="49"/>
      <c r="F382" s="49"/>
      <c r="G382" s="49"/>
      <c r="H382" s="49"/>
      <c r="I382" s="49"/>
      <c r="J382" s="49"/>
      <c r="K382" s="49"/>
      <c r="L382" s="49"/>
      <c r="M382" s="49"/>
      <c r="N382" s="83"/>
      <c r="O382" s="31" t="str">
        <f>IF(((D382=0)),"   ","Нужно заполнить пункт 50 текстовой части - о главах муниципалитетов, находящихся в процессе преобразования")</f>
        <v xml:space="preserve">   </v>
      </c>
      <c r="P382" s="80"/>
    </row>
    <row r="383" spans="2:16" ht="43.2" hidden="1" x14ac:dyDescent="0.3">
      <c r="B383" s="33" t="s">
        <v>743</v>
      </c>
      <c r="C383" s="34" t="s">
        <v>744</v>
      </c>
      <c r="D383" s="28">
        <f t="shared" si="70"/>
        <v>0</v>
      </c>
      <c r="E383" s="49"/>
      <c r="F383" s="49"/>
      <c r="G383" s="49"/>
      <c r="H383" s="49"/>
      <c r="I383" s="49"/>
      <c r="J383" s="49"/>
      <c r="K383" s="49"/>
      <c r="L383" s="49"/>
      <c r="M383" s="49"/>
      <c r="N383" s="83"/>
      <c r="O383" s="31" t="str">
        <f>IF(((D383=0)),"   ","Нужно заполнить пункт 50 текстовой части - о главах муниципалитетов, находящихся в процессе преобразования")</f>
        <v xml:space="preserve">   </v>
      </c>
      <c r="P383" s="80"/>
    </row>
    <row r="384" spans="2:16" ht="51" hidden="1" customHeight="1" x14ac:dyDescent="0.3">
      <c r="B384" s="21" t="s">
        <v>745</v>
      </c>
      <c r="C384" s="1" t="s">
        <v>746</v>
      </c>
      <c r="D384" s="122" t="e">
        <f>(SUM(E384:M384)-IF(J384&gt;0,J384,0))/(COUNTIF(E384:M384,"&gt;0")-(IF(J384&gt;0,1,0)))</f>
        <v>#DIV/0!</v>
      </c>
      <c r="E384" s="29"/>
      <c r="F384" s="29"/>
      <c r="G384" s="29"/>
      <c r="H384" s="29"/>
      <c r="I384" s="29"/>
      <c r="J384" s="29"/>
      <c r="K384" s="29"/>
      <c r="L384" s="29"/>
      <c r="M384" s="29"/>
      <c r="N384" s="30"/>
      <c r="O384" s="123"/>
      <c r="P384" s="80"/>
    </row>
    <row r="385" spans="2:16" ht="138" hidden="1" customHeight="1" x14ac:dyDescent="0.3">
      <c r="B385" s="21" t="s">
        <v>747</v>
      </c>
      <c r="C385" s="1" t="s">
        <v>748</v>
      </c>
      <c r="D385" s="28">
        <f t="shared" ref="D385:D386" si="72">SUM(E385:I385)+SUM(K385:M385)</f>
        <v>0</v>
      </c>
      <c r="E385" s="29"/>
      <c r="F385" s="29"/>
      <c r="G385" s="29"/>
      <c r="H385" s="29"/>
      <c r="I385" s="29"/>
      <c r="J385" s="29"/>
      <c r="K385" s="29"/>
      <c r="L385" s="29"/>
      <c r="M385" s="29"/>
      <c r="N385" s="30"/>
      <c r="O385" s="123"/>
      <c r="P385" s="80"/>
    </row>
    <row r="386" spans="2:16" ht="124.5" hidden="1" customHeight="1" x14ac:dyDescent="0.3">
      <c r="B386" s="21" t="s">
        <v>749</v>
      </c>
      <c r="C386" s="1" t="s">
        <v>750</v>
      </c>
      <c r="D386" s="28">
        <f t="shared" si="72"/>
        <v>0</v>
      </c>
      <c r="E386" s="29"/>
      <c r="F386" s="29"/>
      <c r="G386" s="29"/>
      <c r="H386" s="29"/>
      <c r="I386" s="29"/>
      <c r="J386" s="29"/>
      <c r="K386" s="29"/>
      <c r="L386" s="29"/>
      <c r="M386" s="29"/>
      <c r="N386" s="30"/>
      <c r="O386" s="123"/>
      <c r="P386" s="80"/>
    </row>
    <row r="387" spans="2:16" ht="120.75" hidden="1" customHeight="1" x14ac:dyDescent="0.3">
      <c r="B387" s="21" t="s">
        <v>751</v>
      </c>
      <c r="C387" s="1" t="s">
        <v>752</v>
      </c>
      <c r="D387" s="122" t="e">
        <f>(SUM(E387:M387)-IF(J387&gt;0,J387,0))/(COUNTIF(E387:M387,"&gt;0")-(IF(J387&gt;0,1,0)))</f>
        <v>#DIV/0!</v>
      </c>
      <c r="E387" s="29"/>
      <c r="F387" s="29"/>
      <c r="G387" s="29"/>
      <c r="H387" s="29"/>
      <c r="I387" s="29"/>
      <c r="J387" s="29"/>
      <c r="K387" s="29"/>
      <c r="L387" s="29"/>
      <c r="M387" s="29"/>
      <c r="N387" s="30"/>
      <c r="O387" s="123"/>
      <c r="P387" s="80"/>
    </row>
    <row r="388" spans="2:16" hidden="1" x14ac:dyDescent="0.3">
      <c r="B388" s="93" t="s">
        <v>753</v>
      </c>
      <c r="C388" s="124" t="s">
        <v>754</v>
      </c>
      <c r="D388" s="23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5"/>
      <c r="P388" s="80"/>
    </row>
    <row r="389" spans="2:16" ht="57.6" hidden="1" x14ac:dyDescent="0.3">
      <c r="B389" s="21" t="s">
        <v>755</v>
      </c>
      <c r="C389" s="1" t="s">
        <v>756</v>
      </c>
      <c r="D389" s="28">
        <f>F389+G389+M389</f>
        <v>0</v>
      </c>
      <c r="E389" s="35"/>
      <c r="F389" s="28">
        <f>F390</f>
        <v>0</v>
      </c>
      <c r="G389" s="28">
        <f>G390</f>
        <v>0</v>
      </c>
      <c r="H389" s="125"/>
      <c r="I389" s="125"/>
      <c r="J389" s="109"/>
      <c r="K389" s="109"/>
      <c r="L389" s="126"/>
      <c r="M389" s="28">
        <f>M391</f>
        <v>0</v>
      </c>
      <c r="N389" s="83"/>
      <c r="O389" s="83"/>
      <c r="P389" s="80"/>
    </row>
    <row r="390" spans="2:16" ht="72" hidden="1" x14ac:dyDescent="0.3">
      <c r="B390" s="33" t="s">
        <v>757</v>
      </c>
      <c r="C390" s="34" t="s">
        <v>758</v>
      </c>
      <c r="D390" s="28">
        <f>F390+G390</f>
        <v>0</v>
      </c>
      <c r="E390" s="108"/>
      <c r="F390" s="78"/>
      <c r="G390" s="78"/>
      <c r="H390" s="109"/>
      <c r="I390" s="109"/>
      <c r="J390" s="109"/>
      <c r="K390" s="109"/>
      <c r="L390" s="127"/>
      <c r="M390" s="28"/>
      <c r="N390" s="31" t="str">
        <f>IF((D390&lt;=E$10),"Выполнено","ПРОВЕРИТЬ (таких случаев возложения не может быть больше чем муниципальных районов)")</f>
        <v>Выполнено</v>
      </c>
      <c r="O390" s="31" t="str">
        <f>IF(((D390=0)),"   ","Нужно заполнить пункт 51 текстовой части - о муниципальных районах (внутригородских муниципальных образованиях), в которых не формируются местные администрации")</f>
        <v xml:space="preserve">   </v>
      </c>
      <c r="P390" s="80"/>
    </row>
    <row r="391" spans="2:16" ht="57.6" hidden="1" x14ac:dyDescent="0.3">
      <c r="B391" s="33" t="s">
        <v>759</v>
      </c>
      <c r="C391" s="34" t="s">
        <v>760</v>
      </c>
      <c r="D391" s="28">
        <f>M391</f>
        <v>0</v>
      </c>
      <c r="E391" s="128"/>
      <c r="F391" s="40"/>
      <c r="G391" s="129"/>
      <c r="H391" s="130"/>
      <c r="I391" s="130"/>
      <c r="J391" s="130"/>
      <c r="K391" s="130"/>
      <c r="L391" s="131"/>
      <c r="M391" s="78"/>
      <c r="N391" s="96" t="str">
        <f>IF((M391&lt;=M$10),"Выполнено","ПРОВЕРИТЬ (таких муниципальных образований не может быть больше общего их числа)")</f>
        <v>Выполнено</v>
      </c>
      <c r="O391" s="31" t="str">
        <f>IF(((D391=0)),"   ","Нужно заполнить пункт 51 текстовой части - о муниципальных районах (внутригородских муниципальных образованиях), в которых не формируются местные администрации")</f>
        <v xml:space="preserve">   </v>
      </c>
      <c r="P391" s="80"/>
    </row>
    <row r="392" spans="2:16" ht="43.2" hidden="1" x14ac:dyDescent="0.3">
      <c r="B392" s="21" t="s">
        <v>761</v>
      </c>
      <c r="C392" s="1" t="s">
        <v>762</v>
      </c>
      <c r="D392" s="28">
        <f>F392+G392+M392</f>
        <v>0</v>
      </c>
      <c r="E392" s="35"/>
      <c r="F392" s="28">
        <f>F393</f>
        <v>0</v>
      </c>
      <c r="G392" s="28">
        <f>G393</f>
        <v>0</v>
      </c>
      <c r="H392" s="125"/>
      <c r="I392" s="125"/>
      <c r="J392" s="109"/>
      <c r="K392" s="109"/>
      <c r="L392" s="126"/>
      <c r="M392" s="28">
        <f>M394</f>
        <v>0</v>
      </c>
      <c r="N392" s="83"/>
      <c r="O392" s="83"/>
      <c r="P392" s="80"/>
    </row>
    <row r="393" spans="2:16" ht="57.6" hidden="1" x14ac:dyDescent="0.3">
      <c r="B393" s="33" t="s">
        <v>763</v>
      </c>
      <c r="C393" s="34" t="s">
        <v>764</v>
      </c>
      <c r="D393" s="28">
        <f>F393+G393</f>
        <v>0</v>
      </c>
      <c r="E393" s="108"/>
      <c r="F393" s="78"/>
      <c r="G393" s="78"/>
      <c r="H393" s="109"/>
      <c r="I393" s="109"/>
      <c r="J393" s="109"/>
      <c r="K393" s="109"/>
      <c r="L393" s="127"/>
      <c r="M393" s="28"/>
      <c r="N393" s="31" t="str">
        <f>IF((D393&lt;=E$10),"Выполнено","ПРОВЕРИТЬ (таких случаев возложения не может быть больше чем муниципальных районов)")</f>
        <v>Выполнено</v>
      </c>
      <c r="O393" s="31" t="str">
        <f>IF(((D393=0)),"   ","Нужно заполнить пункт 51 текстовой части - о муниципальных районах (внутригородских муниципальных образованиях), в которых не формируются местные администрации")</f>
        <v xml:space="preserve">   </v>
      </c>
      <c r="P393" s="80"/>
    </row>
    <row r="394" spans="2:16" ht="57.6" hidden="1" x14ac:dyDescent="0.3">
      <c r="B394" s="33" t="s">
        <v>765</v>
      </c>
      <c r="C394" s="34" t="s">
        <v>766</v>
      </c>
      <c r="D394" s="28">
        <f>M394</f>
        <v>0</v>
      </c>
      <c r="E394" s="128"/>
      <c r="F394" s="40"/>
      <c r="G394" s="129"/>
      <c r="H394" s="130"/>
      <c r="I394" s="130"/>
      <c r="J394" s="130"/>
      <c r="K394" s="130"/>
      <c r="L394" s="131"/>
      <c r="M394" s="78"/>
      <c r="N394" s="96" t="str">
        <f>IF((M394&lt;=M$10),"Выполнено","ПРОВЕРИТЬ (таких муниципальных образований не может быть больше общего их числа)")</f>
        <v>Выполнено</v>
      </c>
      <c r="O394" s="31" t="str">
        <f>IF(((D394=0)),"   ","Нужно заполнить пункт 51 текстовой части - о муниципальных районах (внутригородских муниципальных образованиях), в которых не формируются местные администрации")</f>
        <v xml:space="preserve">   </v>
      </c>
      <c r="P394" s="80"/>
    </row>
    <row r="395" spans="2:16" ht="28.8" hidden="1" x14ac:dyDescent="0.3">
      <c r="B395" s="21" t="s">
        <v>767</v>
      </c>
      <c r="C395" s="1" t="s">
        <v>768</v>
      </c>
      <c r="D395" s="23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5"/>
      <c r="P395" s="81"/>
    </row>
    <row r="396" spans="2:16" ht="28.8" hidden="1" x14ac:dyDescent="0.3">
      <c r="B396" s="21" t="s">
        <v>769</v>
      </c>
      <c r="C396" s="1" t="s">
        <v>770</v>
      </c>
      <c r="D396" s="28">
        <f t="shared" ref="D396:D486" si="73">SUM(E396:I396)+SUM(K396:M396)</f>
        <v>0</v>
      </c>
      <c r="E396" s="64">
        <f t="shared" ref="E396:M396" si="74">E337-E338-E341</f>
        <v>0</v>
      </c>
      <c r="F396" s="64">
        <f t="shared" si="74"/>
        <v>0</v>
      </c>
      <c r="G396" s="64">
        <f t="shared" si="74"/>
        <v>0</v>
      </c>
      <c r="H396" s="64">
        <f t="shared" si="74"/>
        <v>0</v>
      </c>
      <c r="I396" s="64">
        <f t="shared" si="74"/>
        <v>0</v>
      </c>
      <c r="J396" s="64">
        <f t="shared" si="74"/>
        <v>0</v>
      </c>
      <c r="K396" s="64">
        <f t="shared" si="74"/>
        <v>0</v>
      </c>
      <c r="L396" s="64">
        <f t="shared" si="74"/>
        <v>0</v>
      </c>
      <c r="M396" s="64">
        <f t="shared" si="74"/>
        <v>0</v>
      </c>
      <c r="N396" s="83"/>
      <c r="O396" s="83"/>
      <c r="P396" s="81"/>
    </row>
    <row r="397" spans="2:16" ht="43.2" hidden="1" x14ac:dyDescent="0.3">
      <c r="B397" s="116" t="s">
        <v>771</v>
      </c>
      <c r="C397" s="1" t="s">
        <v>772</v>
      </c>
      <c r="D397" s="28">
        <f t="shared" si="73"/>
        <v>0</v>
      </c>
      <c r="E397" s="50">
        <f>E338+E341</f>
        <v>0</v>
      </c>
      <c r="F397" s="50">
        <f>F338+F341-F389</f>
        <v>0</v>
      </c>
      <c r="G397" s="50">
        <f>G338+G341-G389</f>
        <v>0</v>
      </c>
      <c r="H397" s="50">
        <f>H338+H341</f>
        <v>0</v>
      </c>
      <c r="I397" s="50">
        <f>I338+I341</f>
        <v>0</v>
      </c>
      <c r="J397" s="50">
        <f>J338+J341</f>
        <v>0</v>
      </c>
      <c r="K397" s="50">
        <f>K338+K341</f>
        <v>0</v>
      </c>
      <c r="L397" s="50">
        <f>L338+L341</f>
        <v>0</v>
      </c>
      <c r="M397" s="50">
        <f>M338+M341-M389</f>
        <v>0</v>
      </c>
      <c r="N397" s="83"/>
      <c r="O397" s="83"/>
      <c r="P397" s="81"/>
    </row>
    <row r="398" spans="2:16" ht="28.8" hidden="1" x14ac:dyDescent="0.3">
      <c r="B398" s="21" t="s">
        <v>773</v>
      </c>
      <c r="C398" s="1" t="s">
        <v>774</v>
      </c>
      <c r="D398" s="28">
        <f t="shared" si="73"/>
        <v>0</v>
      </c>
      <c r="E398" s="64">
        <f t="shared" ref="E398:M398" si="75">E347-E348-E351</f>
        <v>0</v>
      </c>
      <c r="F398" s="64">
        <f t="shared" si="75"/>
        <v>0</v>
      </c>
      <c r="G398" s="64">
        <f t="shared" si="75"/>
        <v>0</v>
      </c>
      <c r="H398" s="64">
        <f t="shared" si="75"/>
        <v>0</v>
      </c>
      <c r="I398" s="64">
        <f t="shared" si="75"/>
        <v>0</v>
      </c>
      <c r="J398" s="64">
        <f t="shared" si="75"/>
        <v>0</v>
      </c>
      <c r="K398" s="64">
        <f t="shared" si="75"/>
        <v>0</v>
      </c>
      <c r="L398" s="64">
        <f t="shared" si="75"/>
        <v>0</v>
      </c>
      <c r="M398" s="64">
        <f t="shared" si="75"/>
        <v>0</v>
      </c>
      <c r="N398" s="83"/>
      <c r="O398" s="83"/>
      <c r="P398" s="81"/>
    </row>
    <row r="399" spans="2:16" ht="43.2" hidden="1" x14ac:dyDescent="0.3">
      <c r="B399" s="82" t="s">
        <v>775</v>
      </c>
      <c r="C399" s="120" t="s">
        <v>776</v>
      </c>
      <c r="D399" s="28">
        <f t="shared" si="73"/>
        <v>0</v>
      </c>
      <c r="E399" s="29"/>
      <c r="F399" s="29"/>
      <c r="G399" s="29"/>
      <c r="H399" s="29"/>
      <c r="I399" s="29"/>
      <c r="J399" s="29"/>
      <c r="K399" s="29"/>
      <c r="L399" s="29"/>
      <c r="M399" s="29"/>
      <c r="N399" s="83"/>
      <c r="O399" s="83"/>
      <c r="P399" s="90"/>
    </row>
    <row r="400" spans="2:16" ht="28.8" hidden="1" x14ac:dyDescent="0.3">
      <c r="B400" s="33" t="s">
        <v>777</v>
      </c>
      <c r="C400" s="34" t="s">
        <v>778</v>
      </c>
      <c r="D400" s="28">
        <f t="shared" si="73"/>
        <v>0</v>
      </c>
      <c r="E400" s="49"/>
      <c r="F400" s="49"/>
      <c r="G400" s="49"/>
      <c r="H400" s="49"/>
      <c r="I400" s="49"/>
      <c r="J400" s="49"/>
      <c r="K400" s="49"/>
      <c r="L400" s="49"/>
      <c r="M400" s="49"/>
      <c r="N400" s="31" t="str">
        <f>IF((D400&lt;=D399)*AND(E400&lt;=E399)*AND(F400&lt;=F399)*AND(G400&lt;=G399)*AND(H400&lt;=H399)*AND(I400&lt;=I399)*AND(K400&lt;=K399)*AND(L400&lt;=L399)*AND(M400&lt;=M399)*AND(J400&lt;=J399),"Выполнено","ПРОВЕРИТЬ (таких глав администраций не может быть больше общего числа действующих глав местных администраций)
)")</f>
        <v>Выполнено</v>
      </c>
      <c r="O400" s="31" t="str">
        <f>IF(((D400=0)),"   ","Нужно заполнить пункт 59 текстовой части - о главах, временно отстраненных от должности")</f>
        <v xml:space="preserve">   </v>
      </c>
      <c r="P400" s="80"/>
    </row>
    <row r="401" spans="2:16" ht="43.2" hidden="1" x14ac:dyDescent="0.3">
      <c r="B401" s="33" t="s">
        <v>779</v>
      </c>
      <c r="C401" s="34" t="s">
        <v>780</v>
      </c>
      <c r="D401" s="28">
        <f t="shared" si="73"/>
        <v>0</v>
      </c>
      <c r="E401" s="49"/>
      <c r="F401" s="49"/>
      <c r="G401" s="49"/>
      <c r="H401" s="49"/>
      <c r="I401" s="49"/>
      <c r="J401" s="49"/>
      <c r="K401" s="49"/>
      <c r="L401" s="49"/>
      <c r="M401" s="49"/>
      <c r="N401" s="83"/>
      <c r="O401" s="31" t="str">
        <f>IF(((D401=0)),"   ","Нужно заполнить пункт 52 текстовой части - о вакантных должностях глав местных администраций")</f>
        <v xml:space="preserve">   </v>
      </c>
      <c r="P401" s="90"/>
    </row>
    <row r="402" spans="2:16" ht="72" hidden="1" x14ac:dyDescent="0.3">
      <c r="B402" s="33" t="s">
        <v>781</v>
      </c>
      <c r="C402" s="34" t="s">
        <v>782</v>
      </c>
      <c r="D402" s="28">
        <f t="shared" si="73"/>
        <v>0</v>
      </c>
      <c r="E402" s="49"/>
      <c r="F402" s="49"/>
      <c r="G402" s="49"/>
      <c r="H402" s="49"/>
      <c r="I402" s="49"/>
      <c r="J402" s="49"/>
      <c r="K402" s="49"/>
      <c r="L402" s="49"/>
      <c r="M402" s="49"/>
      <c r="N402" s="83"/>
      <c r="O402" s="31" t="str">
        <f>IF(((D402=0)),"   ","Нужно заполнить пункт 52 текстовой части - о вакантных должностях глав местных администраций")</f>
        <v xml:space="preserve">   </v>
      </c>
      <c r="P402" s="80"/>
    </row>
    <row r="403" spans="2:16" ht="43.2" hidden="1" x14ac:dyDescent="0.3">
      <c r="B403" s="82" t="s">
        <v>783</v>
      </c>
      <c r="C403" s="120" t="s">
        <v>784</v>
      </c>
      <c r="D403" s="23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5"/>
      <c r="P403" s="80"/>
    </row>
    <row r="404" spans="2:16" ht="28.8" hidden="1" x14ac:dyDescent="0.3">
      <c r="B404" s="82" t="s">
        <v>785</v>
      </c>
      <c r="C404" s="120" t="s">
        <v>786</v>
      </c>
      <c r="D404" s="28">
        <f t="shared" si="73"/>
        <v>0</v>
      </c>
      <c r="E404" s="29"/>
      <c r="F404" s="29"/>
      <c r="G404" s="29"/>
      <c r="H404" s="29"/>
      <c r="I404" s="29"/>
      <c r="J404" s="29"/>
      <c r="K404" s="29"/>
      <c r="L404" s="29"/>
      <c r="M404" s="29"/>
      <c r="N404" s="31" t="str">
        <f>IF((D404&lt;=D$10)*AND(E404&lt;=E$10)*AND(F404&lt;=F$10)*AND(G404&lt;=G$10)*AND(H404&lt;=H$10)*AND(I404&lt;=I$10)*AND(K404&lt;=K$10)*AND(L404&lt;=L$10)*AND(M404&lt;=M$10)*AND(J404&lt;=J$10),"Выполнено","ПРОВЕРИТЬ (таких муниципальных образований не может быть больше их общего числа)")</f>
        <v>Выполнено</v>
      </c>
      <c r="O404" s="101"/>
      <c r="P404" s="80"/>
    </row>
    <row r="405" spans="2:16" hidden="1" x14ac:dyDescent="0.3">
      <c r="B405" s="82" t="s">
        <v>787</v>
      </c>
      <c r="C405" s="120" t="s">
        <v>788</v>
      </c>
      <c r="D405" s="28">
        <f t="shared" si="73"/>
        <v>0</v>
      </c>
      <c r="E405" s="29"/>
      <c r="F405" s="29"/>
      <c r="G405" s="29"/>
      <c r="H405" s="29"/>
      <c r="I405" s="29"/>
      <c r="J405" s="29"/>
      <c r="K405" s="29"/>
      <c r="L405" s="29"/>
      <c r="M405" s="29"/>
      <c r="N405" s="31" t="str">
        <f>IF((D405&lt;=D$10)*AND(E405&lt;=E$10)*AND(F405&lt;=F$10)*AND(G405&lt;=G$10)*AND(H405&lt;=H$10)*AND(I405&lt;=I$10)*AND(K405&lt;=K$10)*AND(L405&lt;=L$10)*AND(M405&lt;=M$10)*AND(J405&lt;=J$10),"Выполнено","ПРОВЕРИТЬ (таких муниципальных образований не может быть больше их общего числа)")</f>
        <v>Выполнено</v>
      </c>
      <c r="O405" s="101"/>
      <c r="P405" s="80"/>
    </row>
    <row r="406" spans="2:16" ht="28.8" hidden="1" x14ac:dyDescent="0.3">
      <c r="B406" s="82" t="s">
        <v>789</v>
      </c>
      <c r="C406" s="120" t="s">
        <v>790</v>
      </c>
      <c r="D406" s="28">
        <f t="shared" si="73"/>
        <v>0</v>
      </c>
      <c r="E406" s="29"/>
      <c r="F406" s="29"/>
      <c r="G406" s="53"/>
      <c r="H406" s="29"/>
      <c r="I406" s="29"/>
      <c r="J406" s="29"/>
      <c r="K406" s="29"/>
      <c r="L406" s="29"/>
      <c r="M406" s="29"/>
      <c r="N406" s="101"/>
      <c r="O406" s="31" t="str">
        <f>IF(((D406&gt;=D404)*AND(E406&gt;=E404)*AND(F406&gt;=F404)*AND(G406&gt;=G404)*AND(H406&gt;=H404)*AND(I406&gt;=I404)*AND(K406&gt;=K404)*AND(L406&gt;=L404)*AND(M406&gt;=M404)*AND(J406&gt;=J404)),"   ","Подсказка - таких органов, как правило, должно быть больше чем муниципалитетов, в которых предусмотрено их создание.")</f>
        <v xml:space="preserve">   </v>
      </c>
      <c r="P406" s="80"/>
    </row>
    <row r="407" spans="2:16" ht="28.8" hidden="1" x14ac:dyDescent="0.3">
      <c r="B407" s="82" t="s">
        <v>791</v>
      </c>
      <c r="C407" s="120" t="s">
        <v>792</v>
      </c>
      <c r="D407" s="28">
        <f t="shared" si="73"/>
        <v>0</v>
      </c>
      <c r="E407" s="29"/>
      <c r="F407" s="29"/>
      <c r="G407" s="29"/>
      <c r="H407" s="29"/>
      <c r="I407" s="29"/>
      <c r="J407" s="29"/>
      <c r="K407" s="29"/>
      <c r="L407" s="29"/>
      <c r="M407" s="29"/>
      <c r="N407" s="101"/>
      <c r="O407" s="31" t="str">
        <f>IF(((D407&gt;=D405)*AND(E407&gt;=E405)*AND(F407&gt;=F405)*AND(G407&gt;=G405)*AND(H407&gt;=H405)*AND(I407&gt;=I405)*AND(K407&gt;=K405)*AND(L407&gt;=L405)*AND(M407&gt;=M405)*AND(J407&gt;=J405)),"   ","Подсказка - таких органов, как правило, должно быть больше чем муниципалитетов, в которых предусмотрено их создание.")</f>
        <v xml:space="preserve">   </v>
      </c>
      <c r="P407" s="80"/>
    </row>
    <row r="408" spans="2:16" ht="28.8" hidden="1" x14ac:dyDescent="0.3">
      <c r="B408" s="21" t="s">
        <v>793</v>
      </c>
      <c r="C408" s="22" t="s">
        <v>794</v>
      </c>
      <c r="D408" s="23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5"/>
      <c r="P408" s="80"/>
    </row>
    <row r="409" spans="2:16" ht="43.2" hidden="1" x14ac:dyDescent="0.3">
      <c r="B409" s="21" t="s">
        <v>795</v>
      </c>
      <c r="C409" s="1" t="s">
        <v>796</v>
      </c>
      <c r="D409" s="28">
        <f t="shared" si="73"/>
        <v>0</v>
      </c>
      <c r="E409" s="50">
        <f t="shared" ref="E409:M409" si="76">SUM(E410:E412)</f>
        <v>0</v>
      </c>
      <c r="F409" s="50">
        <f t="shared" si="76"/>
        <v>0</v>
      </c>
      <c r="G409" s="50">
        <f t="shared" si="76"/>
        <v>0</v>
      </c>
      <c r="H409" s="50">
        <f t="shared" si="76"/>
        <v>0</v>
      </c>
      <c r="I409" s="50">
        <f t="shared" si="76"/>
        <v>0</v>
      </c>
      <c r="J409" s="50">
        <f>SUM(J410:J412)</f>
        <v>0</v>
      </c>
      <c r="K409" s="50">
        <f t="shared" si="76"/>
        <v>0</v>
      </c>
      <c r="L409" s="50">
        <f t="shared" si="76"/>
        <v>0</v>
      </c>
      <c r="M409" s="50">
        <f t="shared" si="76"/>
        <v>0</v>
      </c>
      <c r="N409" s="31" t="str">
        <f>IF((D409=D$10)*AND(E409=E$10)*AND(F409=F$10)*AND(G409=G$10)*AND(H409=H$10)*AND(I409=I$10)*AND(K409=K$10)*AND(L409=L$10)*AND(M409=M$10)*AND(J409=J$10),"Выполнено","ПРОВЕРИТЬ (в сумме должно получиться общее число муниципальных образований)")</f>
        <v>ПРОВЕРИТЬ (в сумме должно получиться общее число муниципальных образований)</v>
      </c>
      <c r="O409" s="83"/>
      <c r="P409" s="80"/>
    </row>
    <row r="410" spans="2:16" hidden="1" x14ac:dyDescent="0.3">
      <c r="B410" s="21" t="s">
        <v>797</v>
      </c>
      <c r="C410" s="1" t="s">
        <v>798</v>
      </c>
      <c r="D410" s="28">
        <f t="shared" si="73"/>
        <v>0</v>
      </c>
      <c r="E410" s="86"/>
      <c r="F410" s="86"/>
      <c r="G410" s="86"/>
      <c r="H410" s="86"/>
      <c r="I410" s="86"/>
      <c r="J410" s="29"/>
      <c r="K410" s="29"/>
      <c r="L410" s="29"/>
      <c r="M410" s="29"/>
      <c r="N410" s="83"/>
      <c r="O410" s="83"/>
      <c r="P410" s="80"/>
    </row>
    <row r="411" spans="2:16" ht="43.2" hidden="1" x14ac:dyDescent="0.3">
      <c r="B411" s="21" t="s">
        <v>799</v>
      </c>
      <c r="C411" s="1" t="s">
        <v>800</v>
      </c>
      <c r="D411" s="28">
        <f t="shared" si="73"/>
        <v>0</v>
      </c>
      <c r="E411" s="86"/>
      <c r="F411" s="86"/>
      <c r="G411" s="86"/>
      <c r="H411" s="86"/>
      <c r="I411" s="86"/>
      <c r="J411" s="29"/>
      <c r="K411" s="29"/>
      <c r="L411" s="29"/>
      <c r="M411" s="29"/>
      <c r="N411" s="83"/>
      <c r="O411" s="83"/>
      <c r="P411" s="80"/>
    </row>
    <row r="412" spans="2:16" ht="28.8" hidden="1" x14ac:dyDescent="0.3">
      <c r="B412" s="33" t="s">
        <v>801</v>
      </c>
      <c r="C412" s="34" t="s">
        <v>802</v>
      </c>
      <c r="D412" s="28">
        <f t="shared" si="73"/>
        <v>0</v>
      </c>
      <c r="E412" s="84"/>
      <c r="F412" s="84"/>
      <c r="G412" s="84"/>
      <c r="H412" s="84"/>
      <c r="I412" s="84"/>
      <c r="J412" s="49"/>
      <c r="K412" s="49"/>
      <c r="L412" s="49"/>
      <c r="M412" s="49"/>
      <c r="N412" s="83"/>
      <c r="O412" s="31" t="str">
        <f>IF(((D412=0)),"   ","Нужно заполнить пункт 53 текстовой части - о муниципальных образованиях, в которых не урегулирован вопрос внешнего финансового контроля")</f>
        <v xml:space="preserve">   </v>
      </c>
      <c r="P412" s="80"/>
    </row>
    <row r="413" spans="2:16" ht="28.8" hidden="1" x14ac:dyDescent="0.3">
      <c r="B413" s="21" t="s">
        <v>803</v>
      </c>
      <c r="C413" s="1" t="s">
        <v>804</v>
      </c>
      <c r="D413" s="28">
        <f t="shared" si="73"/>
        <v>0</v>
      </c>
      <c r="E413" s="86"/>
      <c r="F413" s="86"/>
      <c r="G413" s="86"/>
      <c r="H413" s="86"/>
      <c r="I413" s="86"/>
      <c r="J413" s="29"/>
      <c r="K413" s="29"/>
      <c r="L413" s="29"/>
      <c r="M413" s="29"/>
      <c r="N413" s="83"/>
      <c r="O413" s="31" t="str">
        <f>IF(((D413&gt;=D410)*AND(E413&gt;=E410)*AND(F413&gt;=F410)*AND(G413&gt;=G410)*AND(H413&gt;=H410)*AND(I413&gt;=I410)*AND(K413&gt;=K410)*AND(L413&gt;=L410)*AND(M413&gt;=M410)*AND(J413&gt;=J410)),"   ","Подсказка - таких органов вряд ли может быть больше чем муниципалитетов, где предусмотрено их создание.")</f>
        <v xml:space="preserve">   </v>
      </c>
      <c r="P413" s="80"/>
    </row>
    <row r="414" spans="2:16" ht="57.6" hidden="1" x14ac:dyDescent="0.3">
      <c r="B414" s="21" t="s">
        <v>805</v>
      </c>
      <c r="C414" s="1" t="s">
        <v>806</v>
      </c>
      <c r="D414" s="28">
        <f t="shared" si="73"/>
        <v>0</v>
      </c>
      <c r="E414" s="86"/>
      <c r="F414" s="86"/>
      <c r="G414" s="86"/>
      <c r="H414" s="86"/>
      <c r="I414" s="86"/>
      <c r="J414" s="29"/>
      <c r="K414" s="29"/>
      <c r="L414" s="29"/>
      <c r="M414" s="29"/>
      <c r="N414" s="31" t="str">
        <f>IF((D414&gt;=D413)*AND(E414&gt;=E413)*AND(F414&gt;=F413)*AND(G414&gt;=G413)*AND(H414&gt;=H413)*AND(I414&gt;=I413)*AND(K414&gt;=K413)*AND(L414&gt;=L413)*AND(M414&gt;=M413)*AND(J414&gt;=J413),"Выполнено","ПРОВЕРИТЬ (количество членов коллегиальных органов, как правило, в разы больше количества самих коллегиальных органов)")</f>
        <v>Выполнено</v>
      </c>
      <c r="O414" s="83"/>
      <c r="P414" s="80"/>
    </row>
    <row r="415" spans="2:16" hidden="1" x14ac:dyDescent="0.3">
      <c r="B415" s="21" t="s">
        <v>807</v>
      </c>
      <c r="C415" s="1" t="s">
        <v>808</v>
      </c>
      <c r="D415" s="28">
        <f t="shared" si="73"/>
        <v>0</v>
      </c>
      <c r="E415" s="86"/>
      <c r="F415" s="86"/>
      <c r="G415" s="86"/>
      <c r="H415" s="86"/>
      <c r="I415" s="86"/>
      <c r="J415" s="29"/>
      <c r="K415" s="29"/>
      <c r="L415" s="29"/>
      <c r="M415" s="29"/>
      <c r="N415" s="31" t="str">
        <f>IF((D415&lt;=D414)*AND(E415&lt;=E414)*AND(F415&lt;=F414)*AND(G415&lt;=G414)*AND(H415&lt;=H414)*AND(I415&lt;=I414)*AND(K415&lt;=K414)*AND(L415&lt;=L414)*AND(M415&lt;=M414)*AND(J415&lt;=J414),"Выполнено","ПРОВЕРИТЬ (значения этой строки не могут быть больше предыдущей)
)")</f>
        <v>Выполнено</v>
      </c>
      <c r="O415" s="83"/>
      <c r="P415" s="80"/>
    </row>
    <row r="416" spans="2:16" ht="72" hidden="1" x14ac:dyDescent="0.3">
      <c r="B416" s="21" t="s">
        <v>809</v>
      </c>
      <c r="C416" s="1" t="s">
        <v>810</v>
      </c>
      <c r="D416" s="122" t="e">
        <f>(SUM(E416:M416)-IF(J416&gt;0,J416,0))/(COUNTIF(E416:M416,"&gt;0")-(IF(J416&gt;0,1,0)))</f>
        <v>#DIV/0!</v>
      </c>
      <c r="E416" s="86"/>
      <c r="F416" s="86"/>
      <c r="G416" s="86"/>
      <c r="H416" s="86"/>
      <c r="I416" s="86"/>
      <c r="J416" s="29"/>
      <c r="K416" s="29"/>
      <c r="L416" s="29"/>
      <c r="M416" s="29"/>
      <c r="N416" s="30"/>
      <c r="O416" s="83"/>
      <c r="P416" s="80"/>
    </row>
    <row r="417" spans="2:16" ht="158.4" hidden="1" x14ac:dyDescent="0.3">
      <c r="B417" s="21" t="s">
        <v>811</v>
      </c>
      <c r="C417" s="1" t="s">
        <v>812</v>
      </c>
      <c r="D417" s="28">
        <f t="shared" si="73"/>
        <v>0</v>
      </c>
      <c r="E417" s="86"/>
      <c r="F417" s="86"/>
      <c r="G417" s="86"/>
      <c r="H417" s="86"/>
      <c r="I417" s="86"/>
      <c r="J417" s="29"/>
      <c r="K417" s="29"/>
      <c r="L417" s="29"/>
      <c r="M417" s="29"/>
      <c r="N417" s="30"/>
      <c r="O417" s="83"/>
      <c r="P417" s="80"/>
    </row>
    <row r="418" spans="2:16" ht="144" hidden="1" x14ac:dyDescent="0.3">
      <c r="B418" s="21" t="s">
        <v>813</v>
      </c>
      <c r="C418" s="1" t="s">
        <v>814</v>
      </c>
      <c r="D418" s="28">
        <f t="shared" si="73"/>
        <v>0</v>
      </c>
      <c r="E418" s="86"/>
      <c r="F418" s="86"/>
      <c r="G418" s="86"/>
      <c r="H418" s="86"/>
      <c r="I418" s="86"/>
      <c r="J418" s="29"/>
      <c r="K418" s="29"/>
      <c r="L418" s="29"/>
      <c r="M418" s="29"/>
      <c r="N418" s="30"/>
      <c r="O418" s="83"/>
      <c r="P418" s="80"/>
    </row>
    <row r="419" spans="2:16" ht="147" hidden="1" customHeight="1" x14ac:dyDescent="0.3">
      <c r="B419" s="21" t="s">
        <v>815</v>
      </c>
      <c r="C419" s="1" t="s">
        <v>816</v>
      </c>
      <c r="D419" s="122" t="e">
        <f>(SUM(E419:M419)-IF(J419&gt;0,J419,0))/(COUNTIF(E419:M419,"&gt;0")-(IF(J419&gt;0,1,0)))</f>
        <v>#DIV/0!</v>
      </c>
      <c r="E419" s="86"/>
      <c r="F419" s="86"/>
      <c r="G419" s="86"/>
      <c r="H419" s="86"/>
      <c r="I419" s="86"/>
      <c r="J419" s="29"/>
      <c r="K419" s="29"/>
      <c r="L419" s="29"/>
      <c r="M419" s="29"/>
      <c r="N419" s="30"/>
      <c r="O419" s="83"/>
      <c r="P419" s="80"/>
    </row>
    <row r="420" spans="2:16" ht="28.8" hidden="1" x14ac:dyDescent="0.3">
      <c r="B420" s="93" t="s">
        <v>817</v>
      </c>
      <c r="C420" s="124" t="s">
        <v>818</v>
      </c>
      <c r="D420" s="28">
        <f t="shared" si="73"/>
        <v>0</v>
      </c>
      <c r="E420" s="50">
        <f>SUM(E421:E426)</f>
        <v>0</v>
      </c>
      <c r="F420" s="50">
        <f t="shared" ref="F420:M420" si="77">SUM(F421:F426)</f>
        <v>0</v>
      </c>
      <c r="G420" s="50">
        <f t="shared" si="77"/>
        <v>0</v>
      </c>
      <c r="H420" s="50">
        <f t="shared" si="77"/>
        <v>0</v>
      </c>
      <c r="I420" s="50">
        <f t="shared" si="77"/>
        <v>0</v>
      </c>
      <c r="J420" s="50">
        <f>SUM(J421:J426)</f>
        <v>0</v>
      </c>
      <c r="K420" s="50">
        <f t="shared" si="77"/>
        <v>0</v>
      </c>
      <c r="L420" s="50">
        <f t="shared" si="77"/>
        <v>0</v>
      </c>
      <c r="M420" s="50">
        <f t="shared" si="77"/>
        <v>0</v>
      </c>
      <c r="N420" s="83"/>
      <c r="O420" s="83"/>
      <c r="P420" s="80"/>
    </row>
    <row r="421" spans="2:16" ht="28.8" hidden="1" x14ac:dyDescent="0.3">
      <c r="B421" s="82" t="s">
        <v>819</v>
      </c>
      <c r="C421" s="120" t="s">
        <v>820</v>
      </c>
      <c r="D421" s="28">
        <f t="shared" si="73"/>
        <v>0</v>
      </c>
      <c r="E421" s="29"/>
      <c r="F421" s="29"/>
      <c r="G421" s="29"/>
      <c r="H421" s="29"/>
      <c r="I421" s="29"/>
      <c r="J421" s="29"/>
      <c r="K421" s="29"/>
      <c r="L421" s="29"/>
      <c r="M421" s="29"/>
      <c r="N421" s="83"/>
      <c r="O421" s="83"/>
      <c r="P421" s="80"/>
    </row>
    <row r="422" spans="2:16" hidden="1" x14ac:dyDescent="0.3">
      <c r="B422" s="82" t="s">
        <v>821</v>
      </c>
      <c r="C422" s="120" t="s">
        <v>822</v>
      </c>
      <c r="D422" s="28">
        <f t="shared" si="73"/>
        <v>0</v>
      </c>
      <c r="E422" s="29"/>
      <c r="F422" s="29"/>
      <c r="G422" s="29"/>
      <c r="H422" s="29"/>
      <c r="I422" s="29"/>
      <c r="J422" s="29"/>
      <c r="K422" s="29"/>
      <c r="L422" s="29"/>
      <c r="M422" s="29"/>
      <c r="N422" s="83"/>
      <c r="O422" s="83"/>
      <c r="P422" s="52"/>
    </row>
    <row r="423" spans="2:16" ht="28.8" hidden="1" x14ac:dyDescent="0.3">
      <c r="B423" s="82" t="s">
        <v>823</v>
      </c>
      <c r="C423" s="120" t="s">
        <v>824</v>
      </c>
      <c r="D423" s="28">
        <f t="shared" si="73"/>
        <v>0</v>
      </c>
      <c r="E423" s="29"/>
      <c r="F423" s="29"/>
      <c r="G423" s="29"/>
      <c r="H423" s="29"/>
      <c r="I423" s="29"/>
      <c r="J423" s="29"/>
      <c r="K423" s="29"/>
      <c r="L423" s="29"/>
      <c r="M423" s="29"/>
      <c r="N423" s="83"/>
      <c r="O423" s="83"/>
      <c r="P423" s="114"/>
    </row>
    <row r="424" spans="2:16" hidden="1" x14ac:dyDescent="0.3">
      <c r="B424" s="82" t="s">
        <v>825</v>
      </c>
      <c r="C424" s="120" t="s">
        <v>826</v>
      </c>
      <c r="D424" s="28">
        <f t="shared" si="73"/>
        <v>0</v>
      </c>
      <c r="E424" s="29"/>
      <c r="F424" s="29"/>
      <c r="G424" s="29"/>
      <c r="H424" s="29"/>
      <c r="I424" s="29"/>
      <c r="J424" s="29"/>
      <c r="K424" s="29"/>
      <c r="L424" s="29"/>
      <c r="M424" s="29"/>
      <c r="N424" s="83"/>
      <c r="O424" s="83"/>
      <c r="P424" s="114"/>
    </row>
    <row r="425" spans="2:16" ht="28.8" hidden="1" x14ac:dyDescent="0.3">
      <c r="B425" s="82" t="s">
        <v>827</v>
      </c>
      <c r="C425" s="120" t="s">
        <v>828</v>
      </c>
      <c r="D425" s="28">
        <f t="shared" si="73"/>
        <v>0</v>
      </c>
      <c r="E425" s="29"/>
      <c r="F425" s="29"/>
      <c r="G425" s="29"/>
      <c r="H425" s="29"/>
      <c r="I425" s="29"/>
      <c r="J425" s="29"/>
      <c r="K425" s="29"/>
      <c r="L425" s="29"/>
      <c r="M425" s="29"/>
      <c r="N425" s="83"/>
      <c r="O425" s="83"/>
      <c r="P425" s="114"/>
    </row>
    <row r="426" spans="2:16" hidden="1" x14ac:dyDescent="0.3">
      <c r="B426" s="82" t="s">
        <v>829</v>
      </c>
      <c r="C426" s="120" t="s">
        <v>830</v>
      </c>
      <c r="D426" s="28">
        <f t="shared" si="73"/>
        <v>0</v>
      </c>
      <c r="E426" s="29"/>
      <c r="F426" s="29"/>
      <c r="G426" s="29"/>
      <c r="H426" s="29"/>
      <c r="I426" s="29"/>
      <c r="J426" s="29"/>
      <c r="K426" s="29"/>
      <c r="L426" s="29"/>
      <c r="M426" s="29"/>
      <c r="N426" s="83"/>
      <c r="O426" s="83"/>
      <c r="P426" s="114"/>
    </row>
    <row r="427" spans="2:16" ht="43.2" hidden="1" x14ac:dyDescent="0.3">
      <c r="B427" s="33" t="s">
        <v>831</v>
      </c>
      <c r="C427" s="34" t="s">
        <v>832</v>
      </c>
      <c r="D427" s="28">
        <f t="shared" si="73"/>
        <v>0</v>
      </c>
      <c r="E427" s="49"/>
      <c r="F427" s="49"/>
      <c r="G427" s="29"/>
      <c r="H427" s="49"/>
      <c r="I427" s="49"/>
      <c r="J427" s="49"/>
      <c r="K427" s="49"/>
      <c r="L427" s="29"/>
      <c r="M427" s="29"/>
      <c r="N427" s="31" t="str">
        <f>IF((D427&lt;=D$10)*AND(E427&lt;=E$10)*AND(F427&lt;=F$10)*AND(G427&lt;=G$10)*AND(H427&lt;=H$10)*AND(I427&lt;=I$10)*AND(K427&lt;=K$10)*AND(L427&lt;=L$10)*AND(M427&lt;=M$10)*AND(J427&lt;=J$10),"Выполнено","ПРОВЕРИТЬ (таких муниципальных образований не может быть больше их общего числа)")</f>
        <v>Выполнено</v>
      </c>
      <c r="O427" s="31" t="str">
        <f>IF(((E427+F427+H427+I427+K427=0)),"   ","Нужно заполнить пункт 54 текстовой части - о представительных органах, не имеющих статуса юридических лиц")</f>
        <v xml:space="preserve">   </v>
      </c>
      <c r="P427" s="114"/>
    </row>
    <row r="428" spans="2:16" ht="28.8" hidden="1" x14ac:dyDescent="0.3">
      <c r="B428" s="33" t="s">
        <v>833</v>
      </c>
      <c r="C428" s="34" t="s">
        <v>834</v>
      </c>
      <c r="D428" s="28">
        <f t="shared" si="73"/>
        <v>0</v>
      </c>
      <c r="E428" s="49"/>
      <c r="F428" s="49"/>
      <c r="G428" s="49"/>
      <c r="H428" s="49"/>
      <c r="I428" s="49"/>
      <c r="J428" s="49"/>
      <c r="K428" s="49"/>
      <c r="L428" s="49"/>
      <c r="M428" s="49"/>
      <c r="N428" s="31" t="str">
        <f>IF((D428&lt;=D$10)*AND(E428&lt;=E$10)*AND(F428&lt;=F$10)*AND(G428&lt;=G$10)*AND(H428&lt;=H$10)*AND(I428&lt;=I$10)*AND(K428&lt;=K$10)*AND(L428&lt;=L$10)*AND(M428&lt;=M$10)*AND(J428&lt;=J$10),"Выполнено","ПРОВЕРИТЬ (таких муниципальных образований не может быть больше их общего числа)")</f>
        <v>Выполнено</v>
      </c>
      <c r="O428" s="31" t="str">
        <f>IF(((D428-D389&lt;=0)),"   ","Нужно заполнить пункт 54 текстовой части - о местных администрациях, не имеющих статуса юридических лиц")</f>
        <v xml:space="preserve">   </v>
      </c>
      <c r="P428" s="114"/>
    </row>
    <row r="429" spans="2:16" hidden="1" x14ac:dyDescent="0.3">
      <c r="B429" s="47" t="s">
        <v>835</v>
      </c>
      <c r="C429" s="22" t="s">
        <v>836</v>
      </c>
      <c r="D429" s="40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5"/>
      <c r="P429" s="114"/>
    </row>
    <row r="430" spans="2:16" ht="28.8" hidden="1" x14ac:dyDescent="0.3">
      <c r="B430" s="82" t="s">
        <v>837</v>
      </c>
      <c r="C430" s="120" t="s">
        <v>838</v>
      </c>
      <c r="D430" s="28">
        <f t="shared" si="73"/>
        <v>0</v>
      </c>
      <c r="E430" s="50">
        <f t="shared" ref="E430:M430" si="78">SUM(E431:E434)</f>
        <v>0</v>
      </c>
      <c r="F430" s="50">
        <f t="shared" si="78"/>
        <v>0</v>
      </c>
      <c r="G430" s="50">
        <f t="shared" si="78"/>
        <v>0</v>
      </c>
      <c r="H430" s="50">
        <f t="shared" si="78"/>
        <v>0</v>
      </c>
      <c r="I430" s="50">
        <f t="shared" si="78"/>
        <v>0</v>
      </c>
      <c r="J430" s="50">
        <f>SUM(J431:J434)</f>
        <v>0</v>
      </c>
      <c r="K430" s="50">
        <f t="shared" si="78"/>
        <v>0</v>
      </c>
      <c r="L430" s="50">
        <f t="shared" si="78"/>
        <v>0</v>
      </c>
      <c r="M430" s="50">
        <f t="shared" si="78"/>
        <v>0</v>
      </c>
      <c r="N430" s="31" t="str">
        <f>IF((D430&gt;=D$10)*AND(E430&gt;=E$10)*AND(F430&gt;=F$10)*AND(G430&gt;=G$10)*AND(H430&gt;=H$10)*AND(I430&gt;=I$10)*AND(K430&gt;=K$10)*AND(L430&gt;=L$10)*AND(M430&gt;=M$10)*AND(J430&gt;=J$10),"Выполнено","ПРОВЕРИТЬ (служащих в муниципалитетах обычно в разы больше чем самих муниципалитетов соответствующего вида)")</f>
        <v>ПРОВЕРИТЬ (служащих в муниципалитетах обычно в разы больше чем самих муниципалитетов соответствующего вида)</v>
      </c>
      <c r="O430" s="83"/>
      <c r="P430" s="114"/>
    </row>
    <row r="431" spans="2:16" ht="28.8" hidden="1" x14ac:dyDescent="0.3">
      <c r="B431" s="82" t="s">
        <v>839</v>
      </c>
      <c r="C431" s="120" t="s">
        <v>840</v>
      </c>
      <c r="D431" s="28">
        <f t="shared" si="73"/>
        <v>0</v>
      </c>
      <c r="E431" s="29"/>
      <c r="F431" s="29"/>
      <c r="G431" s="29"/>
      <c r="H431" s="29"/>
      <c r="I431" s="29"/>
      <c r="J431" s="29"/>
      <c r="K431" s="29"/>
      <c r="L431" s="29"/>
      <c r="M431" s="29"/>
      <c r="N431" s="83"/>
      <c r="O431" s="83"/>
      <c r="P431" s="114"/>
    </row>
    <row r="432" spans="2:16" ht="28.8" hidden="1" x14ac:dyDescent="0.3">
      <c r="B432" s="82" t="s">
        <v>841</v>
      </c>
      <c r="C432" s="120" t="s">
        <v>842</v>
      </c>
      <c r="D432" s="28">
        <f t="shared" si="73"/>
        <v>0</v>
      </c>
      <c r="E432" s="29"/>
      <c r="F432" s="29"/>
      <c r="G432" s="29"/>
      <c r="H432" s="29"/>
      <c r="I432" s="29"/>
      <c r="J432" s="29"/>
      <c r="K432" s="29"/>
      <c r="L432" s="29"/>
      <c r="M432" s="29"/>
      <c r="N432" s="83"/>
      <c r="O432" s="83"/>
      <c r="P432" s="114"/>
    </row>
    <row r="433" spans="2:16" ht="28.8" hidden="1" x14ac:dyDescent="0.3">
      <c r="B433" s="82" t="s">
        <v>843</v>
      </c>
      <c r="C433" s="120" t="s">
        <v>844</v>
      </c>
      <c r="D433" s="28">
        <f t="shared" si="73"/>
        <v>0</v>
      </c>
      <c r="E433" s="29"/>
      <c r="F433" s="29"/>
      <c r="G433" s="29"/>
      <c r="H433" s="29"/>
      <c r="I433" s="29"/>
      <c r="J433" s="29"/>
      <c r="K433" s="29"/>
      <c r="L433" s="29"/>
      <c r="M433" s="29"/>
      <c r="N433" s="83"/>
      <c r="O433" s="83"/>
      <c r="P433" s="114"/>
    </row>
    <row r="434" spans="2:16" hidden="1" x14ac:dyDescent="0.3">
      <c r="B434" s="82" t="s">
        <v>845</v>
      </c>
      <c r="C434" s="120" t="s">
        <v>846</v>
      </c>
      <c r="D434" s="28">
        <f t="shared" si="73"/>
        <v>0</v>
      </c>
      <c r="E434" s="29"/>
      <c r="F434" s="29"/>
      <c r="G434" s="29"/>
      <c r="H434" s="29"/>
      <c r="I434" s="29"/>
      <c r="J434" s="29"/>
      <c r="K434" s="29"/>
      <c r="L434" s="29"/>
      <c r="M434" s="29"/>
      <c r="N434" s="83"/>
      <c r="O434" s="83"/>
      <c r="P434" s="114"/>
    </row>
    <row r="435" spans="2:16" hidden="1" x14ac:dyDescent="0.3">
      <c r="B435" s="82" t="s">
        <v>847</v>
      </c>
      <c r="C435" s="120" t="s">
        <v>848</v>
      </c>
      <c r="D435" s="28">
        <f t="shared" si="73"/>
        <v>0</v>
      </c>
      <c r="E435" s="29"/>
      <c r="F435" s="29"/>
      <c r="G435" s="29"/>
      <c r="H435" s="29"/>
      <c r="I435" s="29"/>
      <c r="J435" s="29"/>
      <c r="K435" s="29"/>
      <c r="L435" s="29"/>
      <c r="M435" s="29"/>
      <c r="N435" s="31" t="str">
        <f>IF((D435&lt;=D430)*AND(E435&lt;=E430)*AND(F435&lt;=F430)*AND(G435&lt;=G430)*AND(H435&lt;=H430)*AND(I435&lt;=I430)*AND(K435&lt;=K430)*AND(L435&lt;=L430)*AND(M435&lt;=M430)*AND(J435&lt;=J430),"Выполнено","ПРОВЕРИТЬ (замещённых ставок не может быть больше чем предусмотрено штатным расписанием)")</f>
        <v>Выполнено</v>
      </c>
      <c r="O435" s="83"/>
      <c r="P435" s="114"/>
    </row>
    <row r="436" spans="2:16" ht="28.8" hidden="1" x14ac:dyDescent="0.3">
      <c r="B436" s="82" t="s">
        <v>849</v>
      </c>
      <c r="C436" s="120" t="s">
        <v>850</v>
      </c>
      <c r="D436" s="28">
        <f t="shared" si="73"/>
        <v>0</v>
      </c>
      <c r="E436" s="50">
        <f t="shared" ref="E436:M436" si="79">SUM(E437:E440)</f>
        <v>0</v>
      </c>
      <c r="F436" s="50">
        <f t="shared" si="79"/>
        <v>0</v>
      </c>
      <c r="G436" s="50">
        <f t="shared" si="79"/>
        <v>0</v>
      </c>
      <c r="H436" s="50">
        <f t="shared" si="79"/>
        <v>0</v>
      </c>
      <c r="I436" s="50">
        <f t="shared" si="79"/>
        <v>0</v>
      </c>
      <c r="J436" s="50">
        <f>SUM(J437:J440)</f>
        <v>0</v>
      </c>
      <c r="K436" s="50">
        <f t="shared" si="79"/>
        <v>0</v>
      </c>
      <c r="L436" s="50">
        <f t="shared" si="79"/>
        <v>0</v>
      </c>
      <c r="M436" s="50">
        <f t="shared" si="79"/>
        <v>0</v>
      </c>
      <c r="N436" s="31" t="str">
        <f>IF((INT(D436)=D436)*AND(INT(E436)=E436)*AND(INT(F436)=F436)*AND(INT(G436)=G436)*AND(INT(H436)=H436)*AND(INT(I436)=I436)*AND(INT(K436)=K436)*AND(INT(L436)=L436)*AND(INT(M436)=M436)*AND(INT(J436)=J436),"Выполнено","ПРОВЕРИТЬ (число фактически работающих должно быть целым)")</f>
        <v>Выполнено</v>
      </c>
      <c r="O436" s="83"/>
      <c r="P436" s="114"/>
    </row>
    <row r="437" spans="2:16" ht="28.8" hidden="1" x14ac:dyDescent="0.3">
      <c r="B437" s="82" t="s">
        <v>851</v>
      </c>
      <c r="C437" s="120" t="s">
        <v>840</v>
      </c>
      <c r="D437" s="28">
        <f t="shared" si="73"/>
        <v>0</v>
      </c>
      <c r="E437" s="29"/>
      <c r="F437" s="29"/>
      <c r="G437" s="29"/>
      <c r="H437" s="29"/>
      <c r="I437" s="29"/>
      <c r="J437" s="29"/>
      <c r="K437" s="29"/>
      <c r="L437" s="29"/>
      <c r="M437" s="29"/>
      <c r="N437" s="31" t="str">
        <f>IF((INT(D437)=D437),"Выполнено","ПРОВЕРИТЬ (число фактически работающих должно быть целым)")</f>
        <v>Выполнено</v>
      </c>
      <c r="O437" s="83"/>
      <c r="P437" s="114"/>
    </row>
    <row r="438" spans="2:16" ht="28.8" hidden="1" x14ac:dyDescent="0.3">
      <c r="B438" s="82" t="s">
        <v>852</v>
      </c>
      <c r="C438" s="120" t="s">
        <v>842</v>
      </c>
      <c r="D438" s="28">
        <f t="shared" si="73"/>
        <v>0</v>
      </c>
      <c r="E438" s="29"/>
      <c r="F438" s="29"/>
      <c r="G438" s="29"/>
      <c r="H438" s="29"/>
      <c r="I438" s="29"/>
      <c r="J438" s="29"/>
      <c r="K438" s="29"/>
      <c r="L438" s="29"/>
      <c r="M438" s="29"/>
      <c r="N438" s="31" t="str">
        <f>IF((INT(D438)=D438),"Выполнено","ПРОВЕРИТЬ (число фактически работающих должно быть целым)")</f>
        <v>Выполнено</v>
      </c>
      <c r="O438" s="83"/>
      <c r="P438" s="114"/>
    </row>
    <row r="439" spans="2:16" ht="28.8" hidden="1" x14ac:dyDescent="0.3">
      <c r="B439" s="82" t="s">
        <v>853</v>
      </c>
      <c r="C439" s="120" t="s">
        <v>844</v>
      </c>
      <c r="D439" s="28">
        <f t="shared" si="73"/>
        <v>0</v>
      </c>
      <c r="E439" s="29"/>
      <c r="F439" s="29"/>
      <c r="G439" s="29"/>
      <c r="H439" s="29"/>
      <c r="I439" s="29"/>
      <c r="J439" s="29"/>
      <c r="K439" s="29"/>
      <c r="L439" s="29"/>
      <c r="M439" s="29"/>
      <c r="N439" s="31" t="str">
        <f t="shared" ref="N439:N440" si="80">IF((INT(D439)=D439),"Выполнено","ПРОВЕРИТЬ (число фактически работающих должно быть целым)")</f>
        <v>Выполнено</v>
      </c>
      <c r="O439" s="83"/>
      <c r="P439" s="114"/>
    </row>
    <row r="440" spans="2:16" hidden="1" x14ac:dyDescent="0.3">
      <c r="B440" s="82" t="s">
        <v>854</v>
      </c>
      <c r="C440" s="120" t="s">
        <v>846</v>
      </c>
      <c r="D440" s="28">
        <f t="shared" si="73"/>
        <v>0</v>
      </c>
      <c r="E440" s="29"/>
      <c r="F440" s="29"/>
      <c r="G440" s="29"/>
      <c r="H440" s="29"/>
      <c r="I440" s="29"/>
      <c r="J440" s="29"/>
      <c r="K440" s="29"/>
      <c r="L440" s="29"/>
      <c r="M440" s="29"/>
      <c r="N440" s="31" t="str">
        <f t="shared" si="80"/>
        <v>Выполнено</v>
      </c>
      <c r="O440" s="83"/>
      <c r="P440" s="81"/>
    </row>
    <row r="441" spans="2:16" ht="28.8" hidden="1" x14ac:dyDescent="0.3">
      <c r="B441" s="82" t="s">
        <v>855</v>
      </c>
      <c r="C441" s="120" t="s">
        <v>856</v>
      </c>
      <c r="D441" s="28">
        <f t="shared" si="73"/>
        <v>0</v>
      </c>
      <c r="E441" s="29"/>
      <c r="F441" s="29"/>
      <c r="G441" s="29"/>
      <c r="H441" s="29"/>
      <c r="I441" s="29"/>
      <c r="J441" s="29"/>
      <c r="K441" s="29"/>
      <c r="L441" s="29"/>
      <c r="M441" s="29"/>
      <c r="N441" s="31" t="str">
        <f>IF((INT(D441)=D441)*AND(INT(E441)=E441)*AND(INT(F441)=F441)*AND(INT(G441)=G441)*AND(INT(H441)=H441)*AND(INT(I441)=I441)*AND(INT(K441)=K441)*AND(INT(L441)=L441)*AND(INT(M441)=M441)*AND(INT(J441)=J441),"Выполнено","ПРОВЕРИТЬ (число отсутствующих работников должно быть целым)")</f>
        <v>Выполнено</v>
      </c>
      <c r="O441" s="83"/>
      <c r="P441" s="81"/>
    </row>
    <row r="442" spans="2:16" ht="43.2" hidden="1" x14ac:dyDescent="0.3">
      <c r="B442" s="82" t="s">
        <v>857</v>
      </c>
      <c r="C442" s="120" t="s">
        <v>858</v>
      </c>
      <c r="D442" s="122" t="e">
        <f t="shared" ref="D442:D447" si="81">(SUM(E442:M442)-IF(J442&gt;0,J442,0))/(COUNTIF(E442:M442,"&gt;0")-(IF(J442&gt;0,1,0)))</f>
        <v>#DIV/0!</v>
      </c>
      <c r="E442" s="122" t="e">
        <f t="shared" ref="E442:M442" si="82">(SUM(E443:E447))/(COUNTIF(E443:E447,"&gt;0"))</f>
        <v>#DIV/0!</v>
      </c>
      <c r="F442" s="122" t="e">
        <f t="shared" si="82"/>
        <v>#DIV/0!</v>
      </c>
      <c r="G442" s="122" t="e">
        <f t="shared" si="82"/>
        <v>#DIV/0!</v>
      </c>
      <c r="H442" s="122" t="e">
        <f t="shared" si="82"/>
        <v>#DIV/0!</v>
      </c>
      <c r="I442" s="122" t="e">
        <f t="shared" si="82"/>
        <v>#DIV/0!</v>
      </c>
      <c r="J442" s="122" t="e">
        <f t="shared" si="82"/>
        <v>#DIV/0!</v>
      </c>
      <c r="K442" s="122" t="e">
        <f t="shared" si="82"/>
        <v>#DIV/0!</v>
      </c>
      <c r="L442" s="122" t="e">
        <f t="shared" si="82"/>
        <v>#DIV/0!</v>
      </c>
      <c r="M442" s="122" t="e">
        <f t="shared" si="82"/>
        <v>#DIV/0!</v>
      </c>
      <c r="N442" s="30"/>
      <c r="O442" s="83"/>
      <c r="P442" s="81"/>
    </row>
    <row r="443" spans="2:16" hidden="1" x14ac:dyDescent="0.3">
      <c r="B443" s="82" t="s">
        <v>859</v>
      </c>
      <c r="C443" s="120" t="s">
        <v>860</v>
      </c>
      <c r="D443" s="122" t="e">
        <f t="shared" si="81"/>
        <v>#DIV/0!</v>
      </c>
      <c r="E443" s="86"/>
      <c r="F443" s="86"/>
      <c r="G443" s="86"/>
      <c r="H443" s="86"/>
      <c r="I443" s="86"/>
      <c r="J443" s="29"/>
      <c r="K443" s="29"/>
      <c r="L443" s="29"/>
      <c r="M443" s="29"/>
      <c r="N443" s="30"/>
      <c r="O443" s="83"/>
      <c r="P443" s="81"/>
    </row>
    <row r="444" spans="2:16" hidden="1" x14ac:dyDescent="0.3">
      <c r="B444" s="82" t="s">
        <v>861</v>
      </c>
      <c r="C444" s="120" t="s">
        <v>862</v>
      </c>
      <c r="D444" s="122" t="e">
        <f t="shared" si="81"/>
        <v>#DIV/0!</v>
      </c>
      <c r="E444" s="86"/>
      <c r="F444" s="86"/>
      <c r="G444" s="86"/>
      <c r="H444" s="86"/>
      <c r="I444" s="86"/>
      <c r="J444" s="29"/>
      <c r="K444" s="29"/>
      <c r="L444" s="29"/>
      <c r="M444" s="29"/>
      <c r="N444" s="30"/>
      <c r="O444" s="83"/>
      <c r="P444" s="81"/>
    </row>
    <row r="445" spans="2:16" hidden="1" x14ac:dyDescent="0.3">
      <c r="B445" s="82" t="s">
        <v>863</v>
      </c>
      <c r="C445" s="120" t="s">
        <v>864</v>
      </c>
      <c r="D445" s="122" t="e">
        <f t="shared" si="81"/>
        <v>#DIV/0!</v>
      </c>
      <c r="E445" s="86"/>
      <c r="F445" s="86"/>
      <c r="G445" s="86"/>
      <c r="H445" s="86"/>
      <c r="I445" s="86"/>
      <c r="J445" s="29"/>
      <c r="K445" s="29"/>
      <c r="L445" s="29"/>
      <c r="M445" s="29"/>
      <c r="N445" s="30"/>
      <c r="O445" s="83"/>
      <c r="P445" s="81"/>
    </row>
    <row r="446" spans="2:16" hidden="1" x14ac:dyDescent="0.3">
      <c r="B446" s="82" t="s">
        <v>865</v>
      </c>
      <c r="C446" s="120" t="s">
        <v>866</v>
      </c>
      <c r="D446" s="122" t="e">
        <f t="shared" si="81"/>
        <v>#DIV/0!</v>
      </c>
      <c r="E446" s="86"/>
      <c r="F446" s="86"/>
      <c r="G446" s="86"/>
      <c r="H446" s="86"/>
      <c r="I446" s="86"/>
      <c r="J446" s="29"/>
      <c r="K446" s="29"/>
      <c r="L446" s="29"/>
      <c r="M446" s="29"/>
      <c r="N446" s="30"/>
      <c r="O446" s="83"/>
      <c r="P446" s="81"/>
    </row>
    <row r="447" spans="2:16" hidden="1" x14ac:dyDescent="0.3">
      <c r="B447" s="82" t="s">
        <v>867</v>
      </c>
      <c r="C447" s="120" t="s">
        <v>868</v>
      </c>
      <c r="D447" s="122" t="e">
        <f t="shared" si="81"/>
        <v>#DIV/0!</v>
      </c>
      <c r="E447" s="86"/>
      <c r="F447" s="86"/>
      <c r="G447" s="86"/>
      <c r="H447" s="86"/>
      <c r="I447" s="86"/>
      <c r="J447" s="29"/>
      <c r="K447" s="29"/>
      <c r="L447" s="29"/>
      <c r="M447" s="29"/>
      <c r="N447" s="30"/>
      <c r="O447" s="83"/>
      <c r="P447" s="81"/>
    </row>
    <row r="448" spans="2:16" ht="78" hidden="1" customHeight="1" x14ac:dyDescent="0.3">
      <c r="B448" s="82" t="s">
        <v>869</v>
      </c>
      <c r="C448" s="120" t="s">
        <v>870</v>
      </c>
      <c r="D448" s="28">
        <f t="shared" ref="D448:D454" si="83">SUM(E448:I448)+SUM(K448:M448)</f>
        <v>0</v>
      </c>
      <c r="E448" s="86"/>
      <c r="F448" s="86"/>
      <c r="G448" s="86"/>
      <c r="H448" s="86"/>
      <c r="I448" s="86"/>
      <c r="J448" s="29"/>
      <c r="K448" s="29"/>
      <c r="L448" s="29"/>
      <c r="M448" s="29"/>
      <c r="N448" s="30"/>
      <c r="O448" s="83"/>
      <c r="P448" s="81"/>
    </row>
    <row r="449" spans="2:16" ht="61.5" hidden="1" customHeight="1" x14ac:dyDescent="0.3">
      <c r="B449" s="82" t="s">
        <v>871</v>
      </c>
      <c r="C449" s="120" t="s">
        <v>872</v>
      </c>
      <c r="D449" s="28">
        <f t="shared" si="83"/>
        <v>0</v>
      </c>
      <c r="E449" s="64">
        <f t="shared" ref="E449:M449" si="84">SUM(E450:E454)</f>
        <v>0</v>
      </c>
      <c r="F449" s="64">
        <f t="shared" si="84"/>
        <v>0</v>
      </c>
      <c r="G449" s="64">
        <f t="shared" si="84"/>
        <v>0</v>
      </c>
      <c r="H449" s="64">
        <f t="shared" si="84"/>
        <v>0</v>
      </c>
      <c r="I449" s="64">
        <f t="shared" si="84"/>
        <v>0</v>
      </c>
      <c r="J449" s="64">
        <f t="shared" si="84"/>
        <v>0</v>
      </c>
      <c r="K449" s="64">
        <f t="shared" si="84"/>
        <v>0</v>
      </c>
      <c r="L449" s="64">
        <f t="shared" si="84"/>
        <v>0</v>
      </c>
      <c r="M449" s="64">
        <f t="shared" si="84"/>
        <v>0</v>
      </c>
      <c r="N449" s="30"/>
      <c r="O449" s="83"/>
      <c r="P449" s="81"/>
    </row>
    <row r="450" spans="2:16" hidden="1" x14ac:dyDescent="0.3">
      <c r="B450" s="82" t="s">
        <v>873</v>
      </c>
      <c r="C450" s="120" t="s">
        <v>860</v>
      </c>
      <c r="D450" s="28">
        <f t="shared" si="83"/>
        <v>0</v>
      </c>
      <c r="E450" s="86"/>
      <c r="F450" s="86"/>
      <c r="G450" s="86"/>
      <c r="H450" s="86"/>
      <c r="I450" s="86"/>
      <c r="J450" s="29"/>
      <c r="K450" s="29"/>
      <c r="L450" s="29"/>
      <c r="M450" s="29"/>
      <c r="N450" s="30"/>
      <c r="O450" s="83"/>
      <c r="P450" s="81"/>
    </row>
    <row r="451" spans="2:16" hidden="1" x14ac:dyDescent="0.3">
      <c r="B451" s="82" t="s">
        <v>874</v>
      </c>
      <c r="C451" s="120" t="s">
        <v>862</v>
      </c>
      <c r="D451" s="28">
        <f t="shared" si="83"/>
        <v>0</v>
      </c>
      <c r="E451" s="86"/>
      <c r="F451" s="86"/>
      <c r="G451" s="86"/>
      <c r="H451" s="86"/>
      <c r="I451" s="86"/>
      <c r="J451" s="29"/>
      <c r="K451" s="29"/>
      <c r="L451" s="29"/>
      <c r="M451" s="29"/>
      <c r="N451" s="30"/>
      <c r="O451" s="83"/>
      <c r="P451" s="81"/>
    </row>
    <row r="452" spans="2:16" hidden="1" x14ac:dyDescent="0.3">
      <c r="B452" s="82" t="s">
        <v>875</v>
      </c>
      <c r="C452" s="120" t="s">
        <v>864</v>
      </c>
      <c r="D452" s="28">
        <f t="shared" si="83"/>
        <v>0</v>
      </c>
      <c r="E452" s="86"/>
      <c r="F452" s="86"/>
      <c r="G452" s="86"/>
      <c r="H452" s="86"/>
      <c r="I452" s="86"/>
      <c r="J452" s="29"/>
      <c r="K452" s="29"/>
      <c r="L452" s="29"/>
      <c r="M452" s="29"/>
      <c r="N452" s="30"/>
      <c r="O452" s="83"/>
      <c r="P452" s="81"/>
    </row>
    <row r="453" spans="2:16" hidden="1" x14ac:dyDescent="0.3">
      <c r="B453" s="82" t="s">
        <v>876</v>
      </c>
      <c r="C453" s="120" t="s">
        <v>866</v>
      </c>
      <c r="D453" s="28">
        <f t="shared" si="83"/>
        <v>0</v>
      </c>
      <c r="E453" s="86"/>
      <c r="F453" s="86"/>
      <c r="G453" s="86"/>
      <c r="H453" s="86"/>
      <c r="I453" s="86"/>
      <c r="J453" s="29"/>
      <c r="K453" s="29"/>
      <c r="L453" s="29"/>
      <c r="M453" s="29"/>
      <c r="N453" s="30"/>
      <c r="O453" s="83"/>
      <c r="P453" s="81"/>
    </row>
    <row r="454" spans="2:16" hidden="1" x14ac:dyDescent="0.3">
      <c r="B454" s="82" t="s">
        <v>877</v>
      </c>
      <c r="C454" s="120" t="s">
        <v>868</v>
      </c>
      <c r="D454" s="28">
        <f t="shared" si="83"/>
        <v>0</v>
      </c>
      <c r="E454" s="86"/>
      <c r="F454" s="86"/>
      <c r="G454" s="86"/>
      <c r="H454" s="86"/>
      <c r="I454" s="86"/>
      <c r="J454" s="29"/>
      <c r="K454" s="29"/>
      <c r="L454" s="29"/>
      <c r="M454" s="29"/>
      <c r="N454" s="30"/>
      <c r="O454" s="83"/>
      <c r="P454" s="81"/>
    </row>
    <row r="455" spans="2:16" ht="57.6" hidden="1" x14ac:dyDescent="0.3">
      <c r="B455" s="82" t="s">
        <v>878</v>
      </c>
      <c r="C455" s="120" t="s">
        <v>879</v>
      </c>
      <c r="D455" s="122" t="e">
        <f t="shared" ref="D455:D460" si="85">(SUM(E455:M455)-IF(J455&gt;0,J455,0))/(COUNTIF(E455:M455,"&gt;0")-(IF(J455&gt;0,1,0)))</f>
        <v>#DIV/0!</v>
      </c>
      <c r="E455" s="122" t="e">
        <f t="shared" ref="E455:M455" si="86">(SUM(E456:E460))/(COUNTIF(E456:E460,"&gt;0"))</f>
        <v>#DIV/0!</v>
      </c>
      <c r="F455" s="122" t="e">
        <f t="shared" si="86"/>
        <v>#DIV/0!</v>
      </c>
      <c r="G455" s="122" t="e">
        <f t="shared" si="86"/>
        <v>#DIV/0!</v>
      </c>
      <c r="H455" s="122" t="e">
        <f t="shared" si="86"/>
        <v>#DIV/0!</v>
      </c>
      <c r="I455" s="122" t="e">
        <f t="shared" si="86"/>
        <v>#DIV/0!</v>
      </c>
      <c r="J455" s="122" t="e">
        <f t="shared" si="86"/>
        <v>#DIV/0!</v>
      </c>
      <c r="K455" s="122" t="e">
        <f t="shared" si="86"/>
        <v>#DIV/0!</v>
      </c>
      <c r="L455" s="122" t="e">
        <f t="shared" si="86"/>
        <v>#DIV/0!</v>
      </c>
      <c r="M455" s="122" t="e">
        <f t="shared" si="86"/>
        <v>#DIV/0!</v>
      </c>
      <c r="N455" s="30"/>
      <c r="O455" s="83"/>
      <c r="P455" s="81"/>
    </row>
    <row r="456" spans="2:16" hidden="1" x14ac:dyDescent="0.3">
      <c r="B456" s="82" t="s">
        <v>880</v>
      </c>
      <c r="C456" s="120" t="s">
        <v>860</v>
      </c>
      <c r="D456" s="122" t="e">
        <f t="shared" si="85"/>
        <v>#DIV/0!</v>
      </c>
      <c r="E456" s="86"/>
      <c r="F456" s="86"/>
      <c r="G456" s="86"/>
      <c r="H456" s="86"/>
      <c r="I456" s="86"/>
      <c r="J456" s="29"/>
      <c r="K456" s="29"/>
      <c r="L456" s="29"/>
      <c r="M456" s="29"/>
      <c r="N456" s="30"/>
      <c r="O456" s="83"/>
      <c r="P456" s="81"/>
    </row>
    <row r="457" spans="2:16" hidden="1" x14ac:dyDescent="0.3">
      <c r="B457" s="82" t="s">
        <v>881</v>
      </c>
      <c r="C457" s="120" t="s">
        <v>862</v>
      </c>
      <c r="D457" s="122" t="e">
        <f t="shared" si="85"/>
        <v>#DIV/0!</v>
      </c>
      <c r="E457" s="86"/>
      <c r="F457" s="86"/>
      <c r="G457" s="86"/>
      <c r="H457" s="86"/>
      <c r="I457" s="86"/>
      <c r="J457" s="29"/>
      <c r="K457" s="29"/>
      <c r="L457" s="29"/>
      <c r="M457" s="29"/>
      <c r="N457" s="30"/>
      <c r="O457" s="83"/>
      <c r="P457" s="81"/>
    </row>
    <row r="458" spans="2:16" hidden="1" x14ac:dyDescent="0.3">
      <c r="B458" s="82" t="s">
        <v>882</v>
      </c>
      <c r="C458" s="120" t="s">
        <v>864</v>
      </c>
      <c r="D458" s="122" t="e">
        <f t="shared" si="85"/>
        <v>#DIV/0!</v>
      </c>
      <c r="E458" s="86"/>
      <c r="F458" s="86"/>
      <c r="G458" s="86"/>
      <c r="H458" s="86"/>
      <c r="I458" s="86"/>
      <c r="J458" s="29"/>
      <c r="K458" s="29"/>
      <c r="L458" s="29"/>
      <c r="M458" s="29"/>
      <c r="N458" s="30"/>
      <c r="O458" s="83"/>
      <c r="P458" s="81"/>
    </row>
    <row r="459" spans="2:16" hidden="1" x14ac:dyDescent="0.3">
      <c r="B459" s="82" t="s">
        <v>883</v>
      </c>
      <c r="C459" s="120" t="s">
        <v>866</v>
      </c>
      <c r="D459" s="122" t="e">
        <f t="shared" si="85"/>
        <v>#DIV/0!</v>
      </c>
      <c r="E459" s="86"/>
      <c r="F459" s="86"/>
      <c r="G459" s="86"/>
      <c r="H459" s="86"/>
      <c r="I459" s="86"/>
      <c r="J459" s="29"/>
      <c r="K459" s="29"/>
      <c r="L459" s="29"/>
      <c r="M459" s="29"/>
      <c r="N459" s="30"/>
      <c r="O459" s="83"/>
      <c r="P459" s="81"/>
    </row>
    <row r="460" spans="2:16" hidden="1" x14ac:dyDescent="0.3">
      <c r="B460" s="82" t="s">
        <v>884</v>
      </c>
      <c r="C460" s="120" t="s">
        <v>868</v>
      </c>
      <c r="D460" s="122" t="e">
        <f t="shared" si="85"/>
        <v>#DIV/0!</v>
      </c>
      <c r="E460" s="86"/>
      <c r="F460" s="86"/>
      <c r="G460" s="86"/>
      <c r="H460" s="86"/>
      <c r="I460" s="86"/>
      <c r="J460" s="29"/>
      <c r="K460" s="29"/>
      <c r="L460" s="29"/>
      <c r="M460" s="29"/>
      <c r="N460" s="30"/>
      <c r="O460" s="83"/>
      <c r="P460" s="81"/>
    </row>
    <row r="461" spans="2:16" ht="86.4" hidden="1" x14ac:dyDescent="0.3">
      <c r="B461" s="47" t="s">
        <v>885</v>
      </c>
      <c r="C461" s="22" t="s">
        <v>886</v>
      </c>
      <c r="D461" s="23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5"/>
      <c r="P461" s="81"/>
    </row>
    <row r="462" spans="2:16" ht="28.8" hidden="1" x14ac:dyDescent="0.3">
      <c r="B462" s="21" t="s">
        <v>887</v>
      </c>
      <c r="C462" s="1" t="s">
        <v>888</v>
      </c>
      <c r="D462" s="28">
        <f t="shared" si="73"/>
        <v>0</v>
      </c>
      <c r="E462" s="29"/>
      <c r="F462" s="29"/>
      <c r="G462" s="29"/>
      <c r="H462" s="29"/>
      <c r="I462" s="29"/>
      <c r="J462" s="29"/>
      <c r="K462" s="29"/>
      <c r="L462" s="29"/>
      <c r="M462" s="29"/>
      <c r="N462" s="31" t="str">
        <f>IF((INT(D462)=D462)*AND(INT(E462)=E462)*AND(INT(F462)=F462)*AND(INT(G462)=G462)*AND(INT(H462)=H462)*AND(INT(I462)=I462)*AND(INT(K462)=K462)*AND(INT(L462)=L462)*AND(INT(M462)=M462)*AND(INT(J462)=J462),"Выполнено","ПРОВЕРИТЬ (число должностей должно быть целым)")</f>
        <v>Выполнено</v>
      </c>
      <c r="O462" s="83"/>
      <c r="P462" s="114"/>
    </row>
    <row r="463" spans="2:16" hidden="1" x14ac:dyDescent="0.3">
      <c r="B463" s="33" t="s">
        <v>889</v>
      </c>
      <c r="C463" s="34" t="s">
        <v>890</v>
      </c>
      <c r="D463" s="28">
        <f t="shared" si="73"/>
        <v>0</v>
      </c>
      <c r="E463" s="49"/>
      <c r="F463" s="49"/>
      <c r="G463" s="49"/>
      <c r="H463" s="49"/>
      <c r="I463" s="49"/>
      <c r="J463" s="49"/>
      <c r="K463" s="49"/>
      <c r="L463" s="49"/>
      <c r="M463" s="49"/>
      <c r="N463" s="31" t="str">
        <f>IF((D463&lt;=D462)*AND(E463&lt;=E462)*AND(F463&lt;=F462)*AND(G463&lt;=G462)*AND(H463&lt;=H462)*AND(I463&lt;=I462)*AND(K463&lt;=K462)*AND(L463&lt;=L462)*AND(M463&lt;=M462)*AND(J463&lt;=J462),"Выполнено","ПРОВЕРИТЬ (замещённых должностей не может быть больше чем предусмотрено штатным расписанием)")</f>
        <v>Выполнено</v>
      </c>
      <c r="O463" s="31" t="str">
        <f>IF(((D463=0)),"   ","Нужно заполнить пункт 55 текстовой части - об иных должностных лицах местного самоуправления")</f>
        <v xml:space="preserve">   </v>
      </c>
      <c r="P463" s="114"/>
    </row>
    <row r="464" spans="2:16" ht="28.8" hidden="1" x14ac:dyDescent="0.3">
      <c r="B464" s="21" t="s">
        <v>891</v>
      </c>
      <c r="C464" s="1" t="s">
        <v>892</v>
      </c>
      <c r="D464" s="28">
        <f t="shared" si="73"/>
        <v>0</v>
      </c>
      <c r="E464" s="29"/>
      <c r="F464" s="29"/>
      <c r="G464" s="29"/>
      <c r="H464" s="29"/>
      <c r="I464" s="29"/>
      <c r="J464" s="29"/>
      <c r="K464" s="29"/>
      <c r="L464" s="29"/>
      <c r="M464" s="29"/>
      <c r="N464" s="30"/>
      <c r="O464" s="30"/>
      <c r="P464" s="114"/>
    </row>
    <row r="465" spans="2:16" hidden="1" x14ac:dyDescent="0.3">
      <c r="B465" s="21" t="s">
        <v>893</v>
      </c>
      <c r="C465" s="1" t="s">
        <v>894</v>
      </c>
      <c r="D465" s="28">
        <f t="shared" si="73"/>
        <v>0</v>
      </c>
      <c r="E465" s="29"/>
      <c r="F465" s="29"/>
      <c r="G465" s="29"/>
      <c r="H465" s="29"/>
      <c r="I465" s="29"/>
      <c r="J465" s="29"/>
      <c r="K465" s="29"/>
      <c r="L465" s="29"/>
      <c r="M465" s="29"/>
      <c r="N465" s="31" t="str">
        <f>IF((D465&lt;=D464)*AND(E465&lt;=E464)*AND(F465&lt;=F464)*AND(G465&lt;=G464)*AND(H465&lt;=H464)*AND(I465&lt;=I464)*AND(K465&lt;=K464)*AND(L465&lt;=L464)*AND(M465&lt;=M464)*AND(J465&lt;=J464),"Выполнено","ПРОВЕРИТЬ (замещённых ставок не может быть больше чем предусмотрено штатным расписанием)")</f>
        <v>Выполнено</v>
      </c>
      <c r="O465" s="30"/>
      <c r="P465" s="114"/>
    </row>
    <row r="466" spans="2:16" ht="28.8" hidden="1" x14ac:dyDescent="0.3">
      <c r="B466" s="33" t="s">
        <v>895</v>
      </c>
      <c r="C466" s="34" t="s">
        <v>896</v>
      </c>
      <c r="D466" s="28">
        <f t="shared" si="73"/>
        <v>0</v>
      </c>
      <c r="E466" s="49"/>
      <c r="F466" s="49"/>
      <c r="G466" s="49"/>
      <c r="H466" s="49"/>
      <c r="I466" s="49"/>
      <c r="J466" s="49"/>
      <c r="K466" s="49"/>
      <c r="L466" s="49"/>
      <c r="M466" s="49"/>
      <c r="N466" s="31" t="str">
        <f>IF((INT(D466)=D466)*AND(INT(E466)=E466)*AND(INT(F466)=F466)*AND(INT(G466)=G466)*AND(INT(H466)=H466)*AND(INT(I466)=I466)*AND(INT(K466)=K466)*AND(INT(L466)=L466)*AND(INT(M466)=M466)*AND(INT(J466)=J466),"Выполнено","ПРОВЕРИТЬ (число фактически работающих должно быть целым)")</f>
        <v>Выполнено</v>
      </c>
      <c r="O466" s="31" t="str">
        <f>IF(((D466=0)),"   ","Нужно заполнить пункт 55 текстовой части - об иных должностных лицах местного самоуправления")</f>
        <v xml:space="preserve">   </v>
      </c>
      <c r="P466" s="114"/>
    </row>
    <row r="467" spans="2:16" ht="28.8" hidden="1" x14ac:dyDescent="0.3">
      <c r="B467" s="82" t="s">
        <v>897</v>
      </c>
      <c r="C467" s="120" t="s">
        <v>898</v>
      </c>
      <c r="D467" s="28">
        <f t="shared" si="73"/>
        <v>0</v>
      </c>
      <c r="E467" s="29"/>
      <c r="F467" s="29"/>
      <c r="G467" s="29"/>
      <c r="H467" s="29"/>
      <c r="I467" s="29"/>
      <c r="J467" s="29"/>
      <c r="K467" s="29"/>
      <c r="L467" s="29"/>
      <c r="M467" s="29"/>
      <c r="N467" s="31" t="str">
        <f>IF((INT(D467)=D467)*AND(INT(E467)=E467)*AND(INT(F467)=F467)*AND(INT(G467)=G467)*AND(INT(H467)=H467)*AND(INT(I467)=I467)*AND(INT(K467)=K467)*AND(INT(L467)=L467)*AND(INT(M467)=M467)*AND(INT(J467)=J467),"Выполнено","ПРОВЕРИТЬ (число отсутствующих работников должно быть целым)")</f>
        <v>Выполнено</v>
      </c>
      <c r="O467" s="83"/>
      <c r="P467" s="114"/>
    </row>
    <row r="468" spans="2:16" ht="43.2" hidden="1" x14ac:dyDescent="0.3">
      <c r="B468" s="82" t="s">
        <v>899</v>
      </c>
      <c r="C468" s="120" t="s">
        <v>900</v>
      </c>
      <c r="D468" s="122" t="e">
        <f>(SUM(E468:M468)-IF(J468&gt;0,J468,0))/(COUNTIF(E468:M468,"&gt;0")-(IF(J468&gt;0,1,0)))</f>
        <v>#DIV/0!</v>
      </c>
      <c r="E468" s="86"/>
      <c r="F468" s="86"/>
      <c r="G468" s="86"/>
      <c r="H468" s="86"/>
      <c r="I468" s="86"/>
      <c r="J468" s="29"/>
      <c r="K468" s="29"/>
      <c r="L468" s="29"/>
      <c r="M468" s="29"/>
      <c r="N468" s="30"/>
      <c r="O468" s="83"/>
      <c r="P468" s="114"/>
    </row>
    <row r="469" spans="2:16" ht="132.75" hidden="1" customHeight="1" x14ac:dyDescent="0.3">
      <c r="B469" s="82" t="s">
        <v>901</v>
      </c>
      <c r="C469" s="120" t="s">
        <v>902</v>
      </c>
      <c r="D469" s="28">
        <f t="shared" si="73"/>
        <v>0</v>
      </c>
      <c r="E469" s="86"/>
      <c r="F469" s="86"/>
      <c r="G469" s="86"/>
      <c r="H469" s="86"/>
      <c r="I469" s="86"/>
      <c r="J469" s="29"/>
      <c r="K469" s="29"/>
      <c r="L469" s="29"/>
      <c r="M469" s="29"/>
      <c r="N469" s="30"/>
      <c r="O469" s="83"/>
      <c r="P469" s="114"/>
    </row>
    <row r="470" spans="2:16" ht="115.2" hidden="1" x14ac:dyDescent="0.3">
      <c r="B470" s="82" t="s">
        <v>903</v>
      </c>
      <c r="C470" s="120" t="s">
        <v>904</v>
      </c>
      <c r="D470" s="28">
        <f t="shared" si="73"/>
        <v>0</v>
      </c>
      <c r="E470" s="86"/>
      <c r="F470" s="86"/>
      <c r="G470" s="86"/>
      <c r="H470" s="86"/>
      <c r="I470" s="86"/>
      <c r="J470" s="29"/>
      <c r="K470" s="29"/>
      <c r="L470" s="29"/>
      <c r="M470" s="29"/>
      <c r="N470" s="30"/>
      <c r="O470" s="83"/>
      <c r="P470" s="114"/>
    </row>
    <row r="471" spans="2:16" ht="115.2" hidden="1" x14ac:dyDescent="0.3">
      <c r="B471" s="82" t="s">
        <v>905</v>
      </c>
      <c r="C471" s="120" t="s">
        <v>906</v>
      </c>
      <c r="D471" s="122" t="e">
        <f>(SUM(E471:M471)-IF(J471&gt;0,J471,0))/(COUNTIF(E471:M471,"&gt;0")-(IF(J471&gt;0,1,0)))</f>
        <v>#DIV/0!</v>
      </c>
      <c r="E471" s="86"/>
      <c r="F471" s="86"/>
      <c r="G471" s="86"/>
      <c r="H471" s="86"/>
      <c r="I471" s="86"/>
      <c r="J471" s="29"/>
      <c r="K471" s="29"/>
      <c r="L471" s="29"/>
      <c r="M471" s="29"/>
      <c r="N471" s="30"/>
      <c r="O471" s="83"/>
      <c r="P471" s="114"/>
    </row>
    <row r="472" spans="2:16" ht="57.6" hidden="1" x14ac:dyDescent="0.3">
      <c r="B472" s="93" t="s">
        <v>907</v>
      </c>
      <c r="C472" s="124" t="s">
        <v>908</v>
      </c>
      <c r="D472" s="23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5"/>
      <c r="P472" s="114"/>
    </row>
    <row r="473" spans="2:16" hidden="1" x14ac:dyDescent="0.3">
      <c r="B473" s="82" t="s">
        <v>909</v>
      </c>
      <c r="C473" s="120" t="s">
        <v>910</v>
      </c>
      <c r="D473" s="28">
        <f t="shared" si="73"/>
        <v>0</v>
      </c>
      <c r="E473" s="29"/>
      <c r="F473" s="29"/>
      <c r="G473" s="29"/>
      <c r="H473" s="29"/>
      <c r="I473" s="29"/>
      <c r="J473" s="29"/>
      <c r="K473" s="29"/>
      <c r="L473" s="29"/>
      <c r="M473" s="29"/>
      <c r="N473" s="83"/>
      <c r="O473" s="83"/>
      <c r="P473" s="114"/>
    </row>
    <row r="474" spans="2:16" hidden="1" x14ac:dyDescent="0.3">
      <c r="B474" s="82" t="s">
        <v>911</v>
      </c>
      <c r="C474" s="120" t="s">
        <v>894</v>
      </c>
      <c r="D474" s="28">
        <f t="shared" si="73"/>
        <v>0</v>
      </c>
      <c r="E474" s="29"/>
      <c r="F474" s="29"/>
      <c r="G474" s="29"/>
      <c r="H474" s="29"/>
      <c r="I474" s="29"/>
      <c r="J474" s="29"/>
      <c r="K474" s="29"/>
      <c r="L474" s="29"/>
      <c r="M474" s="29"/>
      <c r="N474" s="31" t="str">
        <f>IF((D474&lt;=D473)*AND(E474&lt;=E473)*AND(F474&lt;=F473)*AND(G474&lt;=G473)*AND(H474&lt;=H473)*AND(I474&lt;=I473)*AND(K474&lt;=K473)*AND(L474&lt;=L473)*AND(M474&lt;=M473)*AND(J474&lt;=J473),"Выполнено","ПРОВЕРИТЬ (замещённых ставок не может быть больше чем предусмотрено штатным расписанием)")</f>
        <v>Выполнено</v>
      </c>
      <c r="O474" s="83"/>
      <c r="P474" s="90"/>
    </row>
    <row r="475" spans="2:16" hidden="1" x14ac:dyDescent="0.3">
      <c r="B475" s="82" t="s">
        <v>912</v>
      </c>
      <c r="C475" s="120" t="s">
        <v>913</v>
      </c>
      <c r="D475" s="28">
        <f t="shared" si="73"/>
        <v>0</v>
      </c>
      <c r="E475" s="29"/>
      <c r="F475" s="29"/>
      <c r="G475" s="29"/>
      <c r="H475" s="29"/>
      <c r="I475" s="29"/>
      <c r="J475" s="29"/>
      <c r="K475" s="29"/>
      <c r="L475" s="29"/>
      <c r="M475" s="29"/>
      <c r="N475" s="31" t="str">
        <f>IF((INT(D475)=D475)*AND(INT(E475)=E475)*AND(INT(F475)=F475)*AND(INT(G475)=G475)*AND(INT(H475)=H475)*AND(INT(I475)=I475)*AND(INT(K475)=K475)*AND(INT(L475)=L475)*AND(INT(M475)=M475)*AND(INT(J475)=J475),"Выполнено","ПРОВЕРИТЬ (число фактически работающих должно быть целым)")</f>
        <v>Выполнено</v>
      </c>
      <c r="O475" s="83"/>
      <c r="P475" s="52"/>
    </row>
    <row r="476" spans="2:16" ht="28.8" hidden="1" x14ac:dyDescent="0.3">
      <c r="B476" s="82" t="s">
        <v>914</v>
      </c>
      <c r="C476" s="120" t="s">
        <v>915</v>
      </c>
      <c r="D476" s="28">
        <f t="shared" si="73"/>
        <v>0</v>
      </c>
      <c r="E476" s="29"/>
      <c r="F476" s="29"/>
      <c r="G476" s="29"/>
      <c r="H476" s="29"/>
      <c r="I476" s="29"/>
      <c r="J476" s="29"/>
      <c r="K476" s="29"/>
      <c r="L476" s="29"/>
      <c r="M476" s="29"/>
      <c r="N476" s="31" t="str">
        <f>IF((INT(D476)=D476)*AND(INT(E476)=E476)*AND(INT(F476)=F476)*AND(INT(G476)=G476)*AND(INT(H476)=H476)*AND(INT(I476)=I476)*AND(INT(K476)=K476)*AND(INT(L476)=L476)*AND(INT(M476)=M476)*AND(INT(J476)=J476),"Выполнено","ПРОВЕРИТЬ (число отсутствующих работников должно быть целым)")</f>
        <v>Выполнено</v>
      </c>
      <c r="O476" s="83"/>
      <c r="P476" s="114"/>
    </row>
    <row r="477" spans="2:16" ht="43.2" hidden="1" x14ac:dyDescent="0.3">
      <c r="B477" s="93" t="s">
        <v>916</v>
      </c>
      <c r="C477" s="124" t="s">
        <v>917</v>
      </c>
      <c r="D477" s="23"/>
      <c r="E477" s="24"/>
      <c r="F477" s="24"/>
      <c r="G477" s="24"/>
      <c r="H477" s="24"/>
      <c r="I477" s="24"/>
      <c r="J477" s="24"/>
      <c r="K477" s="24"/>
      <c r="L477" s="24"/>
      <c r="M477" s="24"/>
      <c r="N477" s="25"/>
      <c r="O477" s="25"/>
      <c r="P477" s="114"/>
    </row>
    <row r="478" spans="2:16" ht="43.2" hidden="1" x14ac:dyDescent="0.3">
      <c r="B478" s="82" t="s">
        <v>918</v>
      </c>
      <c r="C478" s="120" t="s">
        <v>919</v>
      </c>
      <c r="D478" s="28">
        <f t="shared" si="73"/>
        <v>0</v>
      </c>
      <c r="E478" s="50">
        <f t="shared" ref="E478:M478" si="87">E298</f>
        <v>0</v>
      </c>
      <c r="F478" s="50">
        <f t="shared" si="87"/>
        <v>0</v>
      </c>
      <c r="G478" s="50">
        <f t="shared" si="87"/>
        <v>0</v>
      </c>
      <c r="H478" s="50">
        <f t="shared" si="87"/>
        <v>0</v>
      </c>
      <c r="I478" s="50">
        <f t="shared" si="87"/>
        <v>0</v>
      </c>
      <c r="J478" s="50">
        <f t="shared" si="87"/>
        <v>0</v>
      </c>
      <c r="K478" s="50">
        <f t="shared" si="87"/>
        <v>0</v>
      </c>
      <c r="L478" s="50">
        <f t="shared" si="87"/>
        <v>0</v>
      </c>
      <c r="M478" s="50">
        <f t="shared" si="87"/>
        <v>0</v>
      </c>
      <c r="N478" s="83"/>
      <c r="O478" s="83"/>
      <c r="P478" s="114"/>
    </row>
    <row r="479" spans="2:16" hidden="1" x14ac:dyDescent="0.3">
      <c r="B479" s="82" t="s">
        <v>920</v>
      </c>
      <c r="C479" s="120" t="s">
        <v>921</v>
      </c>
      <c r="D479" s="28">
        <f t="shared" si="73"/>
        <v>0</v>
      </c>
      <c r="E479" s="50">
        <f t="shared" ref="E479:M479" si="88">E480+E481</f>
        <v>0</v>
      </c>
      <c r="F479" s="50">
        <f t="shared" si="88"/>
        <v>0</v>
      </c>
      <c r="G479" s="50">
        <f t="shared" si="88"/>
        <v>0</v>
      </c>
      <c r="H479" s="50">
        <f t="shared" si="88"/>
        <v>0</v>
      </c>
      <c r="I479" s="50">
        <f t="shared" si="88"/>
        <v>0</v>
      </c>
      <c r="J479" s="50">
        <f t="shared" si="88"/>
        <v>0</v>
      </c>
      <c r="K479" s="50">
        <f t="shared" si="88"/>
        <v>0</v>
      </c>
      <c r="L479" s="50">
        <f t="shared" si="88"/>
        <v>0</v>
      </c>
      <c r="M479" s="50">
        <f t="shared" si="88"/>
        <v>0</v>
      </c>
      <c r="N479" s="31" t="str">
        <f>IF((D479=D478)*AND(E479=E478)*AND(F479=F478)*AND(G479=G478)*AND(H479=H478)*AND(I479=I478)*AND(K479=K478)*AND(L479=L478)*AND(M479=M478)*AND(J479=J478),"Выполнено","ПРОВЕРИТЬ (в сумме должно получиться общее количество действующих депутатов, избранных населением)")</f>
        <v>Выполнено</v>
      </c>
      <c r="O479" s="83"/>
      <c r="P479" s="114"/>
    </row>
    <row r="480" spans="2:16" hidden="1" x14ac:dyDescent="0.3">
      <c r="B480" s="82" t="s">
        <v>922</v>
      </c>
      <c r="C480" s="120" t="s">
        <v>923</v>
      </c>
      <c r="D480" s="28">
        <f t="shared" si="73"/>
        <v>0</v>
      </c>
      <c r="E480" s="29"/>
      <c r="F480" s="29"/>
      <c r="G480" s="29"/>
      <c r="H480" s="29"/>
      <c r="I480" s="29"/>
      <c r="J480" s="29"/>
      <c r="K480" s="29"/>
      <c r="L480" s="29"/>
      <c r="M480" s="29"/>
      <c r="N480" s="83"/>
      <c r="O480" s="83"/>
      <c r="P480" s="52"/>
    </row>
    <row r="481" spans="2:16" hidden="1" x14ac:dyDescent="0.3">
      <c r="B481" s="82" t="s">
        <v>924</v>
      </c>
      <c r="C481" s="120" t="s">
        <v>925</v>
      </c>
      <c r="D481" s="28">
        <f t="shared" si="73"/>
        <v>0</v>
      </c>
      <c r="E481" s="29"/>
      <c r="F481" s="29"/>
      <c r="G481" s="29"/>
      <c r="H481" s="29"/>
      <c r="I481" s="29"/>
      <c r="J481" s="29"/>
      <c r="K481" s="29"/>
      <c r="L481" s="29"/>
      <c r="M481" s="29"/>
      <c r="N481" s="83"/>
      <c r="O481" s="83"/>
      <c r="P481" s="114"/>
    </row>
    <row r="482" spans="2:16" hidden="1" x14ac:dyDescent="0.3">
      <c r="B482" s="82" t="s">
        <v>926</v>
      </c>
      <c r="C482" s="120" t="s">
        <v>927</v>
      </c>
      <c r="D482" s="28">
        <f t="shared" si="73"/>
        <v>0</v>
      </c>
      <c r="E482" s="50">
        <f t="shared" ref="E482:M482" si="89">SUM(E483:E485)</f>
        <v>0</v>
      </c>
      <c r="F482" s="50">
        <f t="shared" si="89"/>
        <v>0</v>
      </c>
      <c r="G482" s="50">
        <f t="shared" si="89"/>
        <v>0</v>
      </c>
      <c r="H482" s="50">
        <f t="shared" si="89"/>
        <v>0</v>
      </c>
      <c r="I482" s="50">
        <f t="shared" si="89"/>
        <v>0</v>
      </c>
      <c r="J482" s="50">
        <f>SUM(J483:J485)</f>
        <v>0</v>
      </c>
      <c r="K482" s="50">
        <f t="shared" si="89"/>
        <v>0</v>
      </c>
      <c r="L482" s="50">
        <f t="shared" si="89"/>
        <v>0</v>
      </c>
      <c r="M482" s="50">
        <f t="shared" si="89"/>
        <v>0</v>
      </c>
      <c r="N482" s="31" t="str">
        <f>IF((D482=D478)*AND(E482=E478)*AND(F482=F478)*AND(G482=G478)*AND(H482=H478)*AND(I482=I478)*AND(K482=K478)*AND(L482=L478)*AND(M482=M478)*AND(J482=J478),"Выполнено","ПРОВЕРИТЬ (в сумме должно получиться общее количество действующих депутатов, избранных населением)")</f>
        <v>Выполнено</v>
      </c>
      <c r="O482" s="83"/>
      <c r="P482" s="114"/>
    </row>
    <row r="483" spans="2:16" hidden="1" x14ac:dyDescent="0.3">
      <c r="B483" s="82" t="s">
        <v>928</v>
      </c>
      <c r="C483" s="120" t="s">
        <v>929</v>
      </c>
      <c r="D483" s="28">
        <f t="shared" si="73"/>
        <v>0</v>
      </c>
      <c r="E483" s="29"/>
      <c r="F483" s="29"/>
      <c r="G483" s="29"/>
      <c r="H483" s="29"/>
      <c r="I483" s="29"/>
      <c r="J483" s="29"/>
      <c r="K483" s="29"/>
      <c r="L483" s="29"/>
      <c r="M483" s="29"/>
      <c r="N483" s="83"/>
      <c r="O483" s="83"/>
      <c r="P483" s="114"/>
    </row>
    <row r="484" spans="2:16" hidden="1" x14ac:dyDescent="0.3">
      <c r="B484" s="82" t="s">
        <v>930</v>
      </c>
      <c r="C484" s="120" t="s">
        <v>931</v>
      </c>
      <c r="D484" s="28">
        <f t="shared" si="73"/>
        <v>0</v>
      </c>
      <c r="E484" s="29"/>
      <c r="F484" s="29"/>
      <c r="G484" s="29"/>
      <c r="H484" s="29"/>
      <c r="I484" s="29"/>
      <c r="J484" s="29"/>
      <c r="K484" s="29"/>
      <c r="L484" s="29"/>
      <c r="M484" s="29"/>
      <c r="N484" s="83"/>
      <c r="O484" s="83"/>
      <c r="P484" s="114"/>
    </row>
    <row r="485" spans="2:16" hidden="1" x14ac:dyDescent="0.3">
      <c r="B485" s="82" t="s">
        <v>932</v>
      </c>
      <c r="C485" s="120" t="s">
        <v>933</v>
      </c>
      <c r="D485" s="28">
        <f t="shared" si="73"/>
        <v>0</v>
      </c>
      <c r="E485" s="29"/>
      <c r="F485" s="29"/>
      <c r="G485" s="29"/>
      <c r="H485" s="29"/>
      <c r="I485" s="29"/>
      <c r="J485" s="29"/>
      <c r="K485" s="29"/>
      <c r="L485" s="29"/>
      <c r="M485" s="29"/>
      <c r="N485" s="83"/>
      <c r="O485" s="83"/>
      <c r="P485" s="81"/>
    </row>
    <row r="486" spans="2:16" hidden="1" x14ac:dyDescent="0.3">
      <c r="B486" s="82" t="s">
        <v>934</v>
      </c>
      <c r="C486" s="120" t="s">
        <v>935</v>
      </c>
      <c r="D486" s="28">
        <f t="shared" si="73"/>
        <v>0</v>
      </c>
      <c r="E486" s="29"/>
      <c r="F486" s="29"/>
      <c r="G486" s="29"/>
      <c r="H486" s="29"/>
      <c r="I486" s="29"/>
      <c r="J486" s="29"/>
      <c r="K486" s="29"/>
      <c r="L486" s="29"/>
      <c r="M486" s="29"/>
      <c r="N486" s="31" t="str">
        <f>IF((D486&lt;=D478)*AND(E486&lt;=E478)*AND(F486&lt;=F478)*AND(G486&lt;=G478)*AND(H486&lt;=H478)*AND(I486&lt;=I478)*AND(K486&lt;=K478)*AND(L486&lt;=L478)*AND(M486&lt;=M478)*AND(J486&lt;=J478),"Выполнено","ПРОВЕРИТЬ (их не может быть больше общего числа действующих депутатов, избранных населением)")</f>
        <v>Выполнено</v>
      </c>
      <c r="O486" s="83"/>
      <c r="P486" s="52"/>
    </row>
    <row r="487" spans="2:16" hidden="1" x14ac:dyDescent="0.3">
      <c r="B487" s="21" t="s">
        <v>936</v>
      </c>
      <c r="C487" s="1" t="s">
        <v>937</v>
      </c>
      <c r="D487" s="28">
        <f t="shared" ref="D487" si="90">SUM(E487:I487)+SUM(K487:M487)</f>
        <v>0</v>
      </c>
      <c r="E487" s="29"/>
      <c r="F487" s="29"/>
      <c r="G487" s="29"/>
      <c r="H487" s="29"/>
      <c r="I487" s="29"/>
      <c r="J487" s="29"/>
      <c r="K487" s="29"/>
      <c r="L487" s="29"/>
      <c r="M487" s="29"/>
      <c r="N487" s="31" t="str">
        <f>IF((D487&lt;=D478)*AND(E487&lt;=E478)*AND(F487&lt;=F478)*AND(G487&lt;=G478)*AND(H487&lt;=H478)*AND(I487&lt;=I478)*AND(K487&lt;=K478)*AND(L487&lt;=L478)*AND(M487&lt;=M478)*AND(J487&lt;=J478),"Выполнено","ПРОВЕРИТЬ (их не может быть больше общего числа действующих депутатов, избранных населением)")</f>
        <v>Выполнено</v>
      </c>
      <c r="O487" s="83"/>
      <c r="P487" s="114"/>
    </row>
    <row r="488" spans="2:16" ht="43.2" hidden="1" x14ac:dyDescent="0.3">
      <c r="B488" s="82" t="s">
        <v>938</v>
      </c>
      <c r="C488" s="120" t="s">
        <v>939</v>
      </c>
      <c r="D488" s="28">
        <f>E488+K488</f>
        <v>0</v>
      </c>
      <c r="E488" s="50">
        <f>E304</f>
        <v>0</v>
      </c>
      <c r="F488" s="55"/>
      <c r="G488" s="55"/>
      <c r="H488" s="55"/>
      <c r="I488" s="55"/>
      <c r="J488" s="55"/>
      <c r="K488" s="50">
        <f>K304</f>
        <v>0</v>
      </c>
      <c r="L488" s="55"/>
      <c r="M488" s="55"/>
      <c r="N488" s="83"/>
      <c r="O488" s="83"/>
      <c r="P488" s="81"/>
    </row>
    <row r="489" spans="2:16" hidden="1" x14ac:dyDescent="0.3">
      <c r="B489" s="82" t="s">
        <v>940</v>
      </c>
      <c r="C489" s="120" t="s">
        <v>921</v>
      </c>
      <c r="D489" s="28">
        <f t="shared" ref="D489:D497" si="91">E489+K489</f>
        <v>0</v>
      </c>
      <c r="E489" s="50">
        <f t="shared" ref="E489" si="92">E490+E491</f>
        <v>0</v>
      </c>
      <c r="F489" s="55"/>
      <c r="G489" s="55"/>
      <c r="H489" s="55"/>
      <c r="I489" s="55"/>
      <c r="J489" s="55"/>
      <c r="K489" s="50">
        <f t="shared" ref="K489" si="93">K490+K491</f>
        <v>0</v>
      </c>
      <c r="L489" s="55"/>
      <c r="M489" s="55"/>
      <c r="N489" s="31" t="str">
        <f>IF((E489=E488)*AND(K489=K488),"Выполнено","ПРОВЕРИТЬ (в сумме должно получиться общее количество действующих депутатов, избранных путем делегирования)")</f>
        <v>Выполнено</v>
      </c>
      <c r="O489" s="83"/>
      <c r="P489" s="114"/>
    </row>
    <row r="490" spans="2:16" hidden="1" x14ac:dyDescent="0.3">
      <c r="B490" s="82" t="s">
        <v>941</v>
      </c>
      <c r="C490" s="120" t="s">
        <v>923</v>
      </c>
      <c r="D490" s="28">
        <f t="shared" si="91"/>
        <v>0</v>
      </c>
      <c r="E490" s="29"/>
      <c r="F490" s="55"/>
      <c r="G490" s="55"/>
      <c r="H490" s="55"/>
      <c r="I490" s="55"/>
      <c r="J490" s="55"/>
      <c r="K490" s="29"/>
      <c r="L490" s="55"/>
      <c r="M490" s="55"/>
      <c r="N490" s="83"/>
      <c r="O490" s="83"/>
      <c r="P490" s="114"/>
    </row>
    <row r="491" spans="2:16" hidden="1" x14ac:dyDescent="0.3">
      <c r="B491" s="82" t="s">
        <v>942</v>
      </c>
      <c r="C491" s="120" t="s">
        <v>925</v>
      </c>
      <c r="D491" s="28">
        <f t="shared" si="91"/>
        <v>0</v>
      </c>
      <c r="E491" s="29"/>
      <c r="F491" s="55"/>
      <c r="G491" s="55"/>
      <c r="H491" s="55"/>
      <c r="I491" s="55"/>
      <c r="J491" s="55"/>
      <c r="K491" s="29"/>
      <c r="L491" s="55"/>
      <c r="M491" s="55"/>
      <c r="N491" s="83"/>
      <c r="O491" s="83"/>
      <c r="P491" s="114"/>
    </row>
    <row r="492" spans="2:16" hidden="1" x14ac:dyDescent="0.3">
      <c r="B492" s="82" t="s">
        <v>943</v>
      </c>
      <c r="C492" s="120" t="s">
        <v>927</v>
      </c>
      <c r="D492" s="28">
        <f t="shared" si="91"/>
        <v>0</v>
      </c>
      <c r="E492" s="50">
        <f>SUM(E493:E495)</f>
        <v>0</v>
      </c>
      <c r="F492" s="55"/>
      <c r="G492" s="55"/>
      <c r="H492" s="55"/>
      <c r="I492" s="55"/>
      <c r="J492" s="55"/>
      <c r="K492" s="50">
        <f>SUM(K493:K495)</f>
        <v>0</v>
      </c>
      <c r="L492" s="55"/>
      <c r="M492" s="55"/>
      <c r="N492" s="31" t="str">
        <f>IF((E492=E488)*AND(K492=K488),"Выполнено","ПРОВЕРИТЬ (в сумме должно получиться общее количество действующих депутатов, избранных путем делегирования)")</f>
        <v>Выполнено</v>
      </c>
      <c r="O492" s="83"/>
      <c r="P492" s="114"/>
    </row>
    <row r="493" spans="2:16" hidden="1" x14ac:dyDescent="0.3">
      <c r="B493" s="82" t="s">
        <v>944</v>
      </c>
      <c r="C493" s="120" t="s">
        <v>929</v>
      </c>
      <c r="D493" s="28">
        <f t="shared" si="91"/>
        <v>0</v>
      </c>
      <c r="E493" s="29"/>
      <c r="F493" s="55"/>
      <c r="G493" s="55"/>
      <c r="H493" s="55"/>
      <c r="I493" s="55"/>
      <c r="J493" s="55"/>
      <c r="K493" s="29"/>
      <c r="L493" s="55"/>
      <c r="M493" s="55"/>
      <c r="N493" s="83"/>
      <c r="O493" s="83"/>
      <c r="P493" s="114"/>
    </row>
    <row r="494" spans="2:16" hidden="1" x14ac:dyDescent="0.3">
      <c r="B494" s="82" t="s">
        <v>945</v>
      </c>
      <c r="C494" s="120" t="s">
        <v>931</v>
      </c>
      <c r="D494" s="28">
        <f t="shared" si="91"/>
        <v>0</v>
      </c>
      <c r="E494" s="29"/>
      <c r="F494" s="55"/>
      <c r="G494" s="55"/>
      <c r="H494" s="55"/>
      <c r="I494" s="55"/>
      <c r="J494" s="55"/>
      <c r="K494" s="29"/>
      <c r="L494" s="55"/>
      <c r="M494" s="55"/>
      <c r="N494" s="83"/>
      <c r="O494" s="83"/>
      <c r="P494" s="114"/>
    </row>
    <row r="495" spans="2:16" hidden="1" x14ac:dyDescent="0.3">
      <c r="B495" s="82" t="s">
        <v>946</v>
      </c>
      <c r="C495" s="120" t="s">
        <v>933</v>
      </c>
      <c r="D495" s="28">
        <f t="shared" si="91"/>
        <v>0</v>
      </c>
      <c r="E495" s="29"/>
      <c r="F495" s="55"/>
      <c r="G495" s="55"/>
      <c r="H495" s="55"/>
      <c r="I495" s="55"/>
      <c r="J495" s="55"/>
      <c r="K495" s="29"/>
      <c r="L495" s="55"/>
      <c r="M495" s="55"/>
      <c r="N495" s="83"/>
      <c r="O495" s="83"/>
      <c r="P495" s="114"/>
    </row>
    <row r="496" spans="2:16" hidden="1" x14ac:dyDescent="0.3">
      <c r="B496" s="82" t="s">
        <v>947</v>
      </c>
      <c r="C496" s="120" t="s">
        <v>948</v>
      </c>
      <c r="D496" s="28">
        <f t="shared" si="91"/>
        <v>0</v>
      </c>
      <c r="E496" s="29"/>
      <c r="F496" s="55"/>
      <c r="G496" s="55"/>
      <c r="H496" s="55"/>
      <c r="I496" s="55"/>
      <c r="J496" s="55"/>
      <c r="K496" s="29"/>
      <c r="L496" s="55"/>
      <c r="M496" s="55"/>
      <c r="N496" s="31" t="str">
        <f>IF((E496&lt;=E488)*AND(K496&lt;=K488),"Выполнено","ПРОВЕРИТЬ (их не может быть больше общего числа действующих депутатов, избранных путем делегирования)")</f>
        <v>Выполнено</v>
      </c>
      <c r="O496" s="83"/>
      <c r="P496" s="114"/>
    </row>
    <row r="497" spans="2:16" hidden="1" x14ac:dyDescent="0.3">
      <c r="B497" s="21" t="s">
        <v>949</v>
      </c>
      <c r="C497" s="1" t="s">
        <v>937</v>
      </c>
      <c r="D497" s="28">
        <f t="shared" si="91"/>
        <v>0</v>
      </c>
      <c r="E497" s="29"/>
      <c r="F497" s="55"/>
      <c r="G497" s="55"/>
      <c r="H497" s="55"/>
      <c r="I497" s="55"/>
      <c r="J497" s="55"/>
      <c r="K497" s="29"/>
      <c r="L497" s="55"/>
      <c r="M497" s="55"/>
      <c r="N497" s="31" t="str">
        <f>IF((E497&lt;=E488)*AND(K497&lt;=K488),"Выполнено","ПРОВЕРИТЬ (их не может быть больше общего числа действующих депутатов, избранных путем делегирования)")</f>
        <v>Выполнено</v>
      </c>
      <c r="O497" s="83"/>
      <c r="P497" s="114"/>
    </row>
    <row r="498" spans="2:16" hidden="1" x14ac:dyDescent="0.3">
      <c r="B498" s="82" t="s">
        <v>950</v>
      </c>
      <c r="C498" s="120" t="s">
        <v>951</v>
      </c>
      <c r="D498" s="28">
        <f t="shared" ref="D498:D507" si="94">SUM(E498:I498)+SUM(K498:M498)-D508</f>
        <v>0</v>
      </c>
      <c r="E498" s="50">
        <f t="shared" ref="E498:M498" si="95">E347</f>
        <v>0</v>
      </c>
      <c r="F498" s="50">
        <f t="shared" si="95"/>
        <v>0</v>
      </c>
      <c r="G498" s="50">
        <f t="shared" si="95"/>
        <v>0</v>
      </c>
      <c r="H498" s="50">
        <f t="shared" si="95"/>
        <v>0</v>
      </c>
      <c r="I498" s="50">
        <f t="shared" si="95"/>
        <v>0</v>
      </c>
      <c r="J498" s="50">
        <f t="shared" si="95"/>
        <v>0</v>
      </c>
      <c r="K498" s="50">
        <f t="shared" si="95"/>
        <v>0</v>
      </c>
      <c r="L498" s="50">
        <f t="shared" si="95"/>
        <v>0</v>
      </c>
      <c r="M498" s="50">
        <f t="shared" si="95"/>
        <v>0</v>
      </c>
      <c r="N498" s="83"/>
      <c r="O498" s="31" t="str">
        <f>IF(((D374=D508)),"   ","Подсказка - если есть т.н. главы совместители (п.13.10), контрольные соотношения по 20.3 будут корректно работать только после заполнения 20.4")</f>
        <v xml:space="preserve">   </v>
      </c>
      <c r="P498" s="114"/>
    </row>
    <row r="499" spans="2:16" hidden="1" x14ac:dyDescent="0.3">
      <c r="B499" s="82" t="s">
        <v>952</v>
      </c>
      <c r="C499" s="120" t="s">
        <v>921</v>
      </c>
      <c r="D499" s="28">
        <f t="shared" si="94"/>
        <v>0</v>
      </c>
      <c r="E499" s="50">
        <f t="shared" ref="E499:M499" si="96">E500+E501</f>
        <v>0</v>
      </c>
      <c r="F499" s="50">
        <f t="shared" si="96"/>
        <v>0</v>
      </c>
      <c r="G499" s="50">
        <f t="shared" si="96"/>
        <v>0</v>
      </c>
      <c r="H499" s="50">
        <f t="shared" si="96"/>
        <v>0</v>
      </c>
      <c r="I499" s="50">
        <f t="shared" si="96"/>
        <v>0</v>
      </c>
      <c r="J499" s="50">
        <f t="shared" si="96"/>
        <v>0</v>
      </c>
      <c r="K499" s="50">
        <f t="shared" si="96"/>
        <v>0</v>
      </c>
      <c r="L499" s="50">
        <f t="shared" si="96"/>
        <v>0</v>
      </c>
      <c r="M499" s="50">
        <f t="shared" si="96"/>
        <v>0</v>
      </c>
      <c r="N499" s="31" t="str">
        <f>IF((D499=D498)*AND(E499=E498)*AND(F499=F498)*AND(G499=G498)*AND(H499=H498)*AND(I499=I498)*AND(K499=K498)*AND(L499=L498)*AND(M499=M498)*AND(J499=J498),"Выполнено","ПРОВЕРИТЬ (в сумме должно получиться общее количество действующих глав)")</f>
        <v>Выполнено</v>
      </c>
      <c r="O499" s="83"/>
      <c r="P499" s="114"/>
    </row>
    <row r="500" spans="2:16" hidden="1" x14ac:dyDescent="0.3">
      <c r="B500" s="82" t="s">
        <v>953</v>
      </c>
      <c r="C500" s="120" t="s">
        <v>923</v>
      </c>
      <c r="D500" s="28">
        <f t="shared" si="94"/>
        <v>0</v>
      </c>
      <c r="E500" s="29"/>
      <c r="F500" s="29"/>
      <c r="G500" s="29"/>
      <c r="H500" s="29"/>
      <c r="I500" s="29"/>
      <c r="J500" s="29"/>
      <c r="K500" s="29"/>
      <c r="L500" s="29"/>
      <c r="M500" s="29"/>
      <c r="N500" s="83"/>
      <c r="O500" s="83"/>
      <c r="P500" s="114"/>
    </row>
    <row r="501" spans="2:16" hidden="1" x14ac:dyDescent="0.3">
      <c r="B501" s="82" t="s">
        <v>954</v>
      </c>
      <c r="C501" s="120" t="s">
        <v>925</v>
      </c>
      <c r="D501" s="28">
        <f t="shared" si="94"/>
        <v>0</v>
      </c>
      <c r="E501" s="29"/>
      <c r="F501" s="29"/>
      <c r="G501" s="29"/>
      <c r="H501" s="29"/>
      <c r="I501" s="29"/>
      <c r="J501" s="29"/>
      <c r="K501" s="29"/>
      <c r="L501" s="29"/>
      <c r="M501" s="29"/>
      <c r="N501" s="83"/>
      <c r="O501" s="83"/>
      <c r="P501" s="114"/>
    </row>
    <row r="502" spans="2:16" hidden="1" x14ac:dyDescent="0.3">
      <c r="B502" s="82" t="s">
        <v>955</v>
      </c>
      <c r="C502" s="120" t="s">
        <v>927</v>
      </c>
      <c r="D502" s="28">
        <f t="shared" si="94"/>
        <v>0</v>
      </c>
      <c r="E502" s="50">
        <f t="shared" ref="E502:M502" si="97">SUM(E503:E505)</f>
        <v>0</v>
      </c>
      <c r="F502" s="50">
        <f t="shared" si="97"/>
        <v>0</v>
      </c>
      <c r="G502" s="50">
        <f t="shared" si="97"/>
        <v>0</v>
      </c>
      <c r="H502" s="50">
        <f t="shared" si="97"/>
        <v>0</v>
      </c>
      <c r="I502" s="50">
        <f t="shared" si="97"/>
        <v>0</v>
      </c>
      <c r="J502" s="50">
        <f>SUM(J503:J505)</f>
        <v>0</v>
      </c>
      <c r="K502" s="50">
        <f t="shared" si="97"/>
        <v>0</v>
      </c>
      <c r="L502" s="50">
        <f t="shared" si="97"/>
        <v>0</v>
      </c>
      <c r="M502" s="50">
        <f t="shared" si="97"/>
        <v>0</v>
      </c>
      <c r="N502" s="31" t="str">
        <f>IF((D502=D498)*AND(E502=E498)*AND(F502=F498)*AND(G502=G498)*AND(H502=H498)*AND(I502=I498)*AND(K502=K498)*AND(L502=L498)*AND(M502=M498)*AND(J502=J498),"Выполнено","ПРОВЕРИТЬ (в сумме должно получиться общее количество действующих глав)")</f>
        <v>Выполнено</v>
      </c>
      <c r="O502" s="83"/>
      <c r="P502" s="114"/>
    </row>
    <row r="503" spans="2:16" hidden="1" x14ac:dyDescent="0.3">
      <c r="B503" s="82" t="s">
        <v>956</v>
      </c>
      <c r="C503" s="120" t="s">
        <v>929</v>
      </c>
      <c r="D503" s="28">
        <f t="shared" si="94"/>
        <v>0</v>
      </c>
      <c r="E503" s="29"/>
      <c r="F503" s="29"/>
      <c r="G503" s="29"/>
      <c r="H503" s="29"/>
      <c r="I503" s="29"/>
      <c r="J503" s="29"/>
      <c r="K503" s="29"/>
      <c r="L503" s="29"/>
      <c r="M503" s="29"/>
      <c r="N503" s="83"/>
      <c r="O503" s="83"/>
      <c r="P503" s="114"/>
    </row>
    <row r="504" spans="2:16" hidden="1" x14ac:dyDescent="0.3">
      <c r="B504" s="82" t="s">
        <v>957</v>
      </c>
      <c r="C504" s="120" t="s">
        <v>931</v>
      </c>
      <c r="D504" s="28">
        <f t="shared" si="94"/>
        <v>0</v>
      </c>
      <c r="E504" s="29"/>
      <c r="F504" s="29"/>
      <c r="G504" s="29"/>
      <c r="H504" s="29"/>
      <c r="I504" s="29"/>
      <c r="J504" s="29"/>
      <c r="K504" s="29"/>
      <c r="L504" s="29"/>
      <c r="M504" s="29"/>
      <c r="N504" s="83"/>
      <c r="O504" s="83"/>
      <c r="P504" s="114"/>
    </row>
    <row r="505" spans="2:16" hidden="1" x14ac:dyDescent="0.3">
      <c r="B505" s="82" t="s">
        <v>958</v>
      </c>
      <c r="C505" s="120" t="s">
        <v>933</v>
      </c>
      <c r="D505" s="28">
        <f t="shared" si="94"/>
        <v>0</v>
      </c>
      <c r="E505" s="29"/>
      <c r="F505" s="29"/>
      <c r="G505" s="29"/>
      <c r="H505" s="29"/>
      <c r="I505" s="29"/>
      <c r="J505" s="29"/>
      <c r="K505" s="29"/>
      <c r="L505" s="29"/>
      <c r="M505" s="29"/>
      <c r="N505" s="83"/>
      <c r="O505" s="83"/>
      <c r="P505" s="114"/>
    </row>
    <row r="506" spans="2:16" hidden="1" x14ac:dyDescent="0.3">
      <c r="B506" s="21" t="s">
        <v>959</v>
      </c>
      <c r="C506" s="120" t="s">
        <v>960</v>
      </c>
      <c r="D506" s="28">
        <f t="shared" si="94"/>
        <v>0</v>
      </c>
      <c r="E506" s="29"/>
      <c r="F506" s="29"/>
      <c r="G506" s="29"/>
      <c r="H506" s="29"/>
      <c r="I506" s="29"/>
      <c r="J506" s="29"/>
      <c r="K506" s="29"/>
      <c r="L506" s="29"/>
      <c r="M506" s="29"/>
      <c r="N506" s="31" t="str">
        <f>IF((D506&lt;=D498)*AND(E506&lt;=E498)*AND(F506&lt;=F498)*AND(G506&lt;=G498)*AND(H506&lt;=H498)*AND(I506&lt;=I498)*AND(K506&lt;=K498)*AND(L506&lt;=L498)*AND(M506&lt;=M498)*AND(J506&lt;=J498),"Выполнено","ПРОВЕРИТЬ (их не может быть больше общего числа действующих глав, избранных населением)")</f>
        <v>Выполнено</v>
      </c>
      <c r="O506" s="83"/>
      <c r="P506" s="114"/>
    </row>
    <row r="507" spans="2:16" hidden="1" x14ac:dyDescent="0.3">
      <c r="B507" s="82" t="s">
        <v>961</v>
      </c>
      <c r="C507" s="120" t="s">
        <v>937</v>
      </c>
      <c r="D507" s="28">
        <f t="shared" si="94"/>
        <v>0</v>
      </c>
      <c r="E507" s="29"/>
      <c r="F507" s="29"/>
      <c r="G507" s="29"/>
      <c r="H507" s="29"/>
      <c r="I507" s="29"/>
      <c r="J507" s="29"/>
      <c r="K507" s="29"/>
      <c r="L507" s="29"/>
      <c r="M507" s="29"/>
      <c r="N507" s="31" t="str">
        <f>IF((D507&lt;=D498)*AND(E507&lt;=E498)*AND(F507&lt;=F498)*AND(G507&lt;=G498)*AND(H507&lt;=H498)*AND(I507&lt;=I498)*AND(K507&lt;=K498)*AND(L507&lt;=L498)*AND(M507&lt;=M498)*AND(J507&lt;=J498),"Выполнено","ПРОВЕРИТЬ (их не может быть больше общего числа действующих глав, избранных населением)")</f>
        <v>Выполнено</v>
      </c>
      <c r="O507" s="83"/>
      <c r="P507" s="52"/>
    </row>
    <row r="508" spans="2:16" ht="57.6" hidden="1" x14ac:dyDescent="0.3">
      <c r="B508" s="82" t="s">
        <v>962</v>
      </c>
      <c r="C508" s="120" t="s">
        <v>963</v>
      </c>
      <c r="D508" s="28">
        <f>D374</f>
        <v>0</v>
      </c>
      <c r="E508" s="59"/>
      <c r="F508" s="60"/>
      <c r="G508" s="60"/>
      <c r="H508" s="60"/>
      <c r="I508" s="60"/>
      <c r="J508" s="61"/>
      <c r="K508" s="60"/>
      <c r="L508" s="60"/>
      <c r="M508" s="60"/>
      <c r="N508" s="83"/>
      <c r="O508" s="83"/>
      <c r="P508" s="114"/>
    </row>
    <row r="509" spans="2:16" hidden="1" x14ac:dyDescent="0.3">
      <c r="B509" s="82" t="s">
        <v>964</v>
      </c>
      <c r="C509" s="120" t="s">
        <v>921</v>
      </c>
      <c r="D509" s="50">
        <f t="shared" ref="D509" si="98">D510+D511</f>
        <v>0</v>
      </c>
      <c r="E509" s="54"/>
      <c r="F509" s="55"/>
      <c r="G509" s="55"/>
      <c r="H509" s="55"/>
      <c r="I509" s="55"/>
      <c r="J509" s="56"/>
      <c r="K509" s="55"/>
      <c r="L509" s="55"/>
      <c r="M509" s="55"/>
      <c r="N509" s="31" t="str">
        <f>IF((D509=D508),"Выполнено","ПРОВЕРИТЬ (в сумме должно получиться общее количество действующих глав)")</f>
        <v>Выполнено</v>
      </c>
      <c r="O509" s="83"/>
      <c r="P509" s="114"/>
    </row>
    <row r="510" spans="2:16" hidden="1" x14ac:dyDescent="0.3">
      <c r="B510" s="82" t="s">
        <v>965</v>
      </c>
      <c r="C510" s="120" t="s">
        <v>923</v>
      </c>
      <c r="D510" s="29"/>
      <c r="E510" s="54"/>
      <c r="F510" s="55"/>
      <c r="G510" s="55"/>
      <c r="H510" s="55"/>
      <c r="I510" s="55"/>
      <c r="J510" s="56"/>
      <c r="K510" s="55"/>
      <c r="L510" s="55"/>
      <c r="M510" s="55"/>
      <c r="N510" s="83"/>
      <c r="O510" s="83"/>
      <c r="P510" s="114"/>
    </row>
    <row r="511" spans="2:16" hidden="1" x14ac:dyDescent="0.3">
      <c r="B511" s="82" t="s">
        <v>966</v>
      </c>
      <c r="C511" s="120" t="s">
        <v>925</v>
      </c>
      <c r="D511" s="29"/>
      <c r="E511" s="54"/>
      <c r="F511" s="55"/>
      <c r="G511" s="55"/>
      <c r="H511" s="55"/>
      <c r="I511" s="55"/>
      <c r="J511" s="56"/>
      <c r="K511" s="55"/>
      <c r="L511" s="55"/>
      <c r="M511" s="55"/>
      <c r="N511" s="83"/>
      <c r="O511" s="83"/>
      <c r="P511" s="114"/>
    </row>
    <row r="512" spans="2:16" hidden="1" x14ac:dyDescent="0.3">
      <c r="B512" s="82" t="s">
        <v>967</v>
      </c>
      <c r="C512" s="120" t="s">
        <v>927</v>
      </c>
      <c r="D512" s="50">
        <f t="shared" ref="D512" si="99">SUM(D513:D515)</f>
        <v>0</v>
      </c>
      <c r="E512" s="54"/>
      <c r="F512" s="55"/>
      <c r="G512" s="55"/>
      <c r="H512" s="55"/>
      <c r="I512" s="55"/>
      <c r="J512" s="56"/>
      <c r="K512" s="55"/>
      <c r="L512" s="55"/>
      <c r="M512" s="55"/>
      <c r="N512" s="31" t="str">
        <f>IF((D512=D508),"Выполнено","ПРОВЕРИТЬ (в сумме должно получиться общее количество действующих глав)")</f>
        <v>Выполнено</v>
      </c>
      <c r="O512" s="83"/>
      <c r="P512" s="114"/>
    </row>
    <row r="513" spans="2:16" hidden="1" x14ac:dyDescent="0.3">
      <c r="B513" s="82" t="s">
        <v>968</v>
      </c>
      <c r="C513" s="120" t="s">
        <v>929</v>
      </c>
      <c r="D513" s="29"/>
      <c r="E513" s="54"/>
      <c r="F513" s="55"/>
      <c r="G513" s="55"/>
      <c r="H513" s="55"/>
      <c r="I513" s="55"/>
      <c r="J513" s="56"/>
      <c r="K513" s="55"/>
      <c r="L513" s="55"/>
      <c r="M513" s="55"/>
      <c r="N513" s="83"/>
      <c r="O513" s="83"/>
      <c r="P513" s="52"/>
    </row>
    <row r="514" spans="2:16" hidden="1" x14ac:dyDescent="0.3">
      <c r="B514" s="82" t="s">
        <v>969</v>
      </c>
      <c r="C514" s="120" t="s">
        <v>931</v>
      </c>
      <c r="D514" s="29"/>
      <c r="E514" s="54"/>
      <c r="F514" s="55"/>
      <c r="G514" s="55"/>
      <c r="H514" s="55"/>
      <c r="I514" s="55"/>
      <c r="J514" s="56"/>
      <c r="K514" s="55"/>
      <c r="L514" s="55"/>
      <c r="M514" s="55"/>
      <c r="N514" s="83"/>
      <c r="O514" s="83"/>
      <c r="P514" s="81"/>
    </row>
    <row r="515" spans="2:16" hidden="1" x14ac:dyDescent="0.3">
      <c r="B515" s="82" t="s">
        <v>970</v>
      </c>
      <c r="C515" s="120" t="s">
        <v>933</v>
      </c>
      <c r="D515" s="29"/>
      <c r="E515" s="54"/>
      <c r="F515" s="55"/>
      <c r="G515" s="55"/>
      <c r="H515" s="55"/>
      <c r="I515" s="55"/>
      <c r="J515" s="56"/>
      <c r="K515" s="55"/>
      <c r="L515" s="55"/>
      <c r="M515" s="55"/>
      <c r="N515" s="83"/>
      <c r="O515" s="83"/>
      <c r="P515" s="114"/>
    </row>
    <row r="516" spans="2:16" hidden="1" x14ac:dyDescent="0.3">
      <c r="B516" s="82" t="s">
        <v>971</v>
      </c>
      <c r="C516" s="120" t="s">
        <v>960</v>
      </c>
      <c r="D516" s="29"/>
      <c r="E516" s="54"/>
      <c r="F516" s="55"/>
      <c r="G516" s="55"/>
      <c r="H516" s="55"/>
      <c r="I516" s="55"/>
      <c r="J516" s="56"/>
      <c r="K516" s="55"/>
      <c r="L516" s="55"/>
      <c r="M516" s="55"/>
      <c r="N516" s="31" t="str">
        <f>IF((D516&lt;=D508),"Выполнено","ПРОВЕРИТЬ (их не может быть больше общего числа действующих глав)")</f>
        <v>Выполнено</v>
      </c>
      <c r="O516" s="83"/>
      <c r="P516" s="114"/>
    </row>
    <row r="517" spans="2:16" hidden="1" x14ac:dyDescent="0.3">
      <c r="B517" s="82" t="s">
        <v>972</v>
      </c>
      <c r="C517" s="120" t="s">
        <v>937</v>
      </c>
      <c r="D517" s="29"/>
      <c r="E517" s="54"/>
      <c r="F517" s="55"/>
      <c r="G517" s="55"/>
      <c r="H517" s="55"/>
      <c r="I517" s="55"/>
      <c r="J517" s="56"/>
      <c r="K517" s="55"/>
      <c r="L517" s="55"/>
      <c r="M517" s="55"/>
      <c r="N517" s="31" t="str">
        <f>IF((D517&lt;=D508),"Выполнено","ПРОВЕРИТЬ (их не может быть больше общего числа действующих глав)")</f>
        <v>Выполнено</v>
      </c>
      <c r="O517" s="83"/>
      <c r="P517" s="132"/>
    </row>
    <row r="518" spans="2:16" ht="43.2" hidden="1" x14ac:dyDescent="0.3">
      <c r="B518" s="82" t="s">
        <v>973</v>
      </c>
      <c r="C518" s="120" t="s">
        <v>974</v>
      </c>
      <c r="D518" s="28">
        <f t="shared" ref="D518:D581" si="100">SUM(E518:I518)+SUM(K518:M518)</f>
        <v>0</v>
      </c>
      <c r="E518" s="50">
        <f t="shared" ref="E518:M518" si="101">E399</f>
        <v>0</v>
      </c>
      <c r="F518" s="50">
        <f t="shared" si="101"/>
        <v>0</v>
      </c>
      <c r="G518" s="50">
        <f t="shared" si="101"/>
        <v>0</v>
      </c>
      <c r="H518" s="50">
        <f t="shared" si="101"/>
        <v>0</v>
      </c>
      <c r="I518" s="50">
        <f t="shared" si="101"/>
        <v>0</v>
      </c>
      <c r="J518" s="50">
        <f t="shared" si="101"/>
        <v>0</v>
      </c>
      <c r="K518" s="50">
        <f t="shared" si="101"/>
        <v>0</v>
      </c>
      <c r="L518" s="50">
        <f t="shared" si="101"/>
        <v>0</v>
      </c>
      <c r="M518" s="50">
        <f t="shared" si="101"/>
        <v>0</v>
      </c>
      <c r="N518" s="83"/>
      <c r="O518" s="83"/>
      <c r="P518" s="52"/>
    </row>
    <row r="519" spans="2:16" hidden="1" x14ac:dyDescent="0.3">
      <c r="B519" s="82" t="s">
        <v>975</v>
      </c>
      <c r="C519" s="120" t="s">
        <v>921</v>
      </c>
      <c r="D519" s="28">
        <f t="shared" si="100"/>
        <v>0</v>
      </c>
      <c r="E519" s="50">
        <f t="shared" ref="E519:M519" si="102">E520+E521</f>
        <v>0</v>
      </c>
      <c r="F519" s="50">
        <f t="shared" si="102"/>
        <v>0</v>
      </c>
      <c r="G519" s="50">
        <f t="shared" si="102"/>
        <v>0</v>
      </c>
      <c r="H519" s="50">
        <f t="shared" si="102"/>
        <v>0</v>
      </c>
      <c r="I519" s="50">
        <f t="shared" si="102"/>
        <v>0</v>
      </c>
      <c r="J519" s="50">
        <f>J520+J521</f>
        <v>0</v>
      </c>
      <c r="K519" s="50">
        <f t="shared" si="102"/>
        <v>0</v>
      </c>
      <c r="L519" s="50">
        <f t="shared" si="102"/>
        <v>0</v>
      </c>
      <c r="M519" s="50">
        <f t="shared" si="102"/>
        <v>0</v>
      </c>
      <c r="N519" s="31" t="str">
        <f>IF((D519=D518)*AND(E519=E518)*AND(F519=F518)*AND(G519=G518)*AND(H519=H518)*AND(I519=I518)*AND(K519=K518)*AND(L519=L518)*AND(M519=M518)*AND(J519=J518),"Выполнено","ПРОВЕРИТЬ (в сумме должно получиться общее количество действующих глав)")</f>
        <v>Выполнено</v>
      </c>
      <c r="O519" s="83"/>
      <c r="P519" s="52"/>
    </row>
    <row r="520" spans="2:16" hidden="1" x14ac:dyDescent="0.3">
      <c r="B520" s="82" t="s">
        <v>976</v>
      </c>
      <c r="C520" s="120" t="s">
        <v>923</v>
      </c>
      <c r="D520" s="28">
        <f t="shared" si="100"/>
        <v>0</v>
      </c>
      <c r="E520" s="29"/>
      <c r="F520" s="29"/>
      <c r="G520" s="29"/>
      <c r="H520" s="29"/>
      <c r="I520" s="29"/>
      <c r="J520" s="29"/>
      <c r="K520" s="29"/>
      <c r="L520" s="29"/>
      <c r="M520" s="29"/>
      <c r="N520" s="83"/>
      <c r="O520" s="83"/>
      <c r="P520" s="114"/>
    </row>
    <row r="521" spans="2:16" hidden="1" x14ac:dyDescent="0.3">
      <c r="B521" s="82" t="s">
        <v>977</v>
      </c>
      <c r="C521" s="120" t="s">
        <v>925</v>
      </c>
      <c r="D521" s="28">
        <f t="shared" si="100"/>
        <v>0</v>
      </c>
      <c r="E521" s="29"/>
      <c r="F521" s="29"/>
      <c r="G521" s="29"/>
      <c r="H521" s="29"/>
      <c r="I521" s="29"/>
      <c r="J521" s="29"/>
      <c r="K521" s="29"/>
      <c r="L521" s="29"/>
      <c r="M521" s="29"/>
      <c r="N521" s="83"/>
      <c r="O521" s="83"/>
      <c r="P521" s="114"/>
    </row>
    <row r="522" spans="2:16" hidden="1" x14ac:dyDescent="0.3">
      <c r="B522" s="82" t="s">
        <v>978</v>
      </c>
      <c r="C522" s="120" t="s">
        <v>927</v>
      </c>
      <c r="D522" s="28">
        <f t="shared" si="100"/>
        <v>0</v>
      </c>
      <c r="E522" s="50">
        <f t="shared" ref="E522:M522" si="103">SUM(E523:E525)</f>
        <v>0</v>
      </c>
      <c r="F522" s="50">
        <f t="shared" si="103"/>
        <v>0</v>
      </c>
      <c r="G522" s="50">
        <f t="shared" si="103"/>
        <v>0</v>
      </c>
      <c r="H522" s="50">
        <f t="shared" si="103"/>
        <v>0</v>
      </c>
      <c r="I522" s="50">
        <f t="shared" si="103"/>
        <v>0</v>
      </c>
      <c r="J522" s="50">
        <f>SUM(J523:J525)</f>
        <v>0</v>
      </c>
      <c r="K522" s="50">
        <f t="shared" si="103"/>
        <v>0</v>
      </c>
      <c r="L522" s="50">
        <f t="shared" si="103"/>
        <v>0</v>
      </c>
      <c r="M522" s="50">
        <f t="shared" si="103"/>
        <v>0</v>
      </c>
      <c r="N522" s="31" t="str">
        <f>IF((D522=D518)*AND(E522=E518)*AND(F522=F518)*AND(G522=G518)*AND(H522=H518)*AND(I522=I518)*AND(K522=K518)*AND(L522=L518)*AND(M522=M518)*AND(J522=J518),"Выполнено","ПРОВЕРИТЬ (в сумме должно получиться общее количество действующих глав администраций)")</f>
        <v>Выполнено</v>
      </c>
      <c r="O522" s="83"/>
      <c r="P522" s="114"/>
    </row>
    <row r="523" spans="2:16" hidden="1" x14ac:dyDescent="0.3">
      <c r="B523" s="82" t="s">
        <v>979</v>
      </c>
      <c r="C523" s="120" t="s">
        <v>929</v>
      </c>
      <c r="D523" s="28">
        <f t="shared" si="100"/>
        <v>0</v>
      </c>
      <c r="E523" s="29"/>
      <c r="F523" s="29"/>
      <c r="G523" s="29"/>
      <c r="H523" s="29"/>
      <c r="I523" s="29"/>
      <c r="J523" s="29"/>
      <c r="K523" s="29"/>
      <c r="L523" s="29"/>
      <c r="M523" s="29"/>
      <c r="N523" s="83"/>
      <c r="O523" s="83"/>
      <c r="P523" s="114"/>
    </row>
    <row r="524" spans="2:16" hidden="1" x14ac:dyDescent="0.3">
      <c r="B524" s="82" t="s">
        <v>980</v>
      </c>
      <c r="C524" s="120" t="s">
        <v>931</v>
      </c>
      <c r="D524" s="28">
        <f t="shared" si="100"/>
        <v>0</v>
      </c>
      <c r="E524" s="29"/>
      <c r="F524" s="29"/>
      <c r="G524" s="29"/>
      <c r="H524" s="29"/>
      <c r="I524" s="29"/>
      <c r="J524" s="29"/>
      <c r="K524" s="29"/>
      <c r="L524" s="29"/>
      <c r="M524" s="29"/>
      <c r="N524" s="83"/>
      <c r="O524" s="83"/>
      <c r="P524" s="114"/>
    </row>
    <row r="525" spans="2:16" hidden="1" x14ac:dyDescent="0.3">
      <c r="B525" s="82" t="s">
        <v>981</v>
      </c>
      <c r="C525" s="120" t="s">
        <v>933</v>
      </c>
      <c r="D525" s="28">
        <f t="shared" si="100"/>
        <v>0</v>
      </c>
      <c r="E525" s="29"/>
      <c r="F525" s="29"/>
      <c r="G525" s="29"/>
      <c r="H525" s="29"/>
      <c r="I525" s="29"/>
      <c r="J525" s="29"/>
      <c r="K525" s="29"/>
      <c r="L525" s="29"/>
      <c r="M525" s="29"/>
      <c r="N525" s="83"/>
      <c r="O525" s="83"/>
      <c r="P525" s="114"/>
    </row>
    <row r="526" spans="2:16" hidden="1" x14ac:dyDescent="0.3">
      <c r="B526" s="82" t="s">
        <v>982</v>
      </c>
      <c r="C526" s="120" t="s">
        <v>983</v>
      </c>
      <c r="D526" s="28">
        <f t="shared" si="100"/>
        <v>0</v>
      </c>
      <c r="E526" s="29"/>
      <c r="F526" s="29"/>
      <c r="G526" s="29"/>
      <c r="H526" s="29"/>
      <c r="I526" s="29"/>
      <c r="J526" s="29"/>
      <c r="K526" s="29"/>
      <c r="L526" s="29"/>
      <c r="M526" s="29"/>
      <c r="N526" s="31" t="str">
        <f>IF((D526&lt;=D518)*AND(E526&lt;=E518)*AND(F526&lt;=F518)*AND(G526&lt;=G518)*AND(H526&lt;=H518)*AND(I526&lt;=I518)*AND(K526&lt;=K518)*AND(L526&lt;=L518)*AND(M526&lt;=M518)*AND(J526&lt;=J518),"Выполнено","ПРОВЕРИТЬ (их не может быть больше общего числа действующих глав администраций, назначенных по конкурсу)")</f>
        <v>Выполнено</v>
      </c>
      <c r="O526" s="83"/>
      <c r="P526" s="114"/>
    </row>
    <row r="527" spans="2:16" hidden="1" x14ac:dyDescent="0.3">
      <c r="B527" s="82" t="s">
        <v>984</v>
      </c>
      <c r="C527" s="120" t="s">
        <v>937</v>
      </c>
      <c r="D527" s="28">
        <f t="shared" si="100"/>
        <v>0</v>
      </c>
      <c r="E527" s="29"/>
      <c r="F527" s="29"/>
      <c r="G527" s="29"/>
      <c r="H527" s="29"/>
      <c r="I527" s="29"/>
      <c r="J527" s="29"/>
      <c r="K527" s="29"/>
      <c r="L527" s="29"/>
      <c r="M527" s="29"/>
      <c r="N527" s="31" t="str">
        <f>IF((D527&lt;=D518)*AND(E527&lt;=E518)*AND(F527&lt;=F518)*AND(G527&lt;=G518)*AND(H527&lt;=H518)*AND(I527&lt;=I518)*AND(K527&lt;=K518)*AND(L527&lt;=L518)*AND(M527&lt;=M518)*AND(J527&lt;=J518),"Выполнено","ПРОВЕРИТЬ (их не может быть больше общего числа действующих глав, избранных населением)")</f>
        <v>Выполнено</v>
      </c>
      <c r="O527" s="83"/>
      <c r="P527" s="114"/>
    </row>
    <row r="528" spans="2:16" hidden="1" x14ac:dyDescent="0.3">
      <c r="B528" s="82" t="s">
        <v>985</v>
      </c>
      <c r="C528" s="120" t="s">
        <v>986</v>
      </c>
      <c r="D528" s="28">
        <f t="shared" si="100"/>
        <v>0</v>
      </c>
      <c r="E528" s="50">
        <f t="shared" ref="E528:M528" si="104">E436</f>
        <v>0</v>
      </c>
      <c r="F528" s="50">
        <f t="shared" si="104"/>
        <v>0</v>
      </c>
      <c r="G528" s="50">
        <f t="shared" si="104"/>
        <v>0</v>
      </c>
      <c r="H528" s="50">
        <f t="shared" si="104"/>
        <v>0</v>
      </c>
      <c r="I528" s="50">
        <f t="shared" si="104"/>
        <v>0</v>
      </c>
      <c r="J528" s="50">
        <f t="shared" si="104"/>
        <v>0</v>
      </c>
      <c r="K528" s="50">
        <f t="shared" si="104"/>
        <v>0</v>
      </c>
      <c r="L528" s="50">
        <f t="shared" si="104"/>
        <v>0</v>
      </c>
      <c r="M528" s="50">
        <f t="shared" si="104"/>
        <v>0</v>
      </c>
      <c r="N528" s="83"/>
      <c r="O528" s="83"/>
      <c r="P528" s="81"/>
    </row>
    <row r="529" spans="2:16" hidden="1" x14ac:dyDescent="0.3">
      <c r="B529" s="82" t="s">
        <v>987</v>
      </c>
      <c r="C529" s="120" t="s">
        <v>921</v>
      </c>
      <c r="D529" s="28">
        <f t="shared" si="100"/>
        <v>0</v>
      </c>
      <c r="E529" s="50">
        <f t="shared" ref="E529:I529" si="105">E530+E531</f>
        <v>0</v>
      </c>
      <c r="F529" s="50">
        <f t="shared" si="105"/>
        <v>0</v>
      </c>
      <c r="G529" s="50">
        <f t="shared" si="105"/>
        <v>0</v>
      </c>
      <c r="H529" s="50">
        <f t="shared" si="105"/>
        <v>0</v>
      </c>
      <c r="I529" s="50">
        <f t="shared" si="105"/>
        <v>0</v>
      </c>
      <c r="J529" s="50">
        <f>J530+J531</f>
        <v>0</v>
      </c>
      <c r="K529" s="50">
        <f t="shared" ref="K529:M529" si="106">K530+K531</f>
        <v>0</v>
      </c>
      <c r="L529" s="50">
        <f t="shared" si="106"/>
        <v>0</v>
      </c>
      <c r="M529" s="50">
        <f t="shared" si="106"/>
        <v>0</v>
      </c>
      <c r="N529" s="31" t="str">
        <f>IF((D529=D528)*AND(E529=E528)*AND(F529=F528)*AND(G529=G528)*AND(H529=H528)*AND(I529=I528)*AND(K529=K528)*AND(L529=L528)*AND(M529=M528)*AND(J529=J528),"Выполнено","ПРОВЕРИТЬ (в сумме должно получиться общее количество служащих)")</f>
        <v>Выполнено</v>
      </c>
      <c r="O529" s="83"/>
      <c r="P529" s="81"/>
    </row>
    <row r="530" spans="2:16" hidden="1" x14ac:dyDescent="0.3">
      <c r="B530" s="82" t="s">
        <v>988</v>
      </c>
      <c r="C530" s="120" t="s">
        <v>923</v>
      </c>
      <c r="D530" s="28">
        <f t="shared" si="100"/>
        <v>0</v>
      </c>
      <c r="E530" s="29"/>
      <c r="F530" s="29"/>
      <c r="G530" s="29"/>
      <c r="H530" s="29"/>
      <c r="I530" s="29"/>
      <c r="J530" s="29"/>
      <c r="K530" s="29"/>
      <c r="L530" s="29"/>
      <c r="M530" s="29"/>
      <c r="N530" s="83"/>
      <c r="O530" s="83"/>
      <c r="P530" s="81"/>
    </row>
    <row r="531" spans="2:16" hidden="1" x14ac:dyDescent="0.3">
      <c r="B531" s="82" t="s">
        <v>989</v>
      </c>
      <c r="C531" s="120" t="s">
        <v>925</v>
      </c>
      <c r="D531" s="28">
        <f t="shared" si="100"/>
        <v>0</v>
      </c>
      <c r="E531" s="29"/>
      <c r="F531" s="29"/>
      <c r="G531" s="29"/>
      <c r="H531" s="29"/>
      <c r="I531" s="29"/>
      <c r="J531" s="29"/>
      <c r="K531" s="29"/>
      <c r="L531" s="29"/>
      <c r="M531" s="29"/>
      <c r="N531" s="83"/>
      <c r="O531" s="83"/>
      <c r="P531" s="81"/>
    </row>
    <row r="532" spans="2:16" hidden="1" x14ac:dyDescent="0.3">
      <c r="B532" s="82" t="s">
        <v>990</v>
      </c>
      <c r="C532" s="120" t="s">
        <v>927</v>
      </c>
      <c r="D532" s="28">
        <f t="shared" si="100"/>
        <v>0</v>
      </c>
      <c r="E532" s="50">
        <f t="shared" ref="E532:I532" si="107">SUM(E533:E535)</f>
        <v>0</v>
      </c>
      <c r="F532" s="50">
        <f t="shared" si="107"/>
        <v>0</v>
      </c>
      <c r="G532" s="50">
        <f t="shared" si="107"/>
        <v>0</v>
      </c>
      <c r="H532" s="50">
        <f t="shared" si="107"/>
        <v>0</v>
      </c>
      <c r="I532" s="50">
        <f t="shared" si="107"/>
        <v>0</v>
      </c>
      <c r="J532" s="50">
        <f>SUM(J533:J535)</f>
        <v>0</v>
      </c>
      <c r="K532" s="50">
        <f t="shared" ref="K532:M532" si="108">SUM(K533:K535)</f>
        <v>0</v>
      </c>
      <c r="L532" s="50">
        <f t="shared" si="108"/>
        <v>0</v>
      </c>
      <c r="M532" s="50">
        <f t="shared" si="108"/>
        <v>0</v>
      </c>
      <c r="N532" s="31" t="str">
        <f>IF((D532=D528)*AND(E532=E528)*AND(F532=F528)*AND(G532=G528)*AND(H532=H528)*AND(I532=I528)*AND(K532=K528)*AND(L532=L528)*AND(M532=M528)*AND(J532=J528),"Выполнено","ПРОВЕРИТЬ (в сумме должно получиться общее количество служащих)")</f>
        <v>Выполнено</v>
      </c>
      <c r="O532" s="83"/>
      <c r="P532" s="81"/>
    </row>
    <row r="533" spans="2:16" hidden="1" x14ac:dyDescent="0.3">
      <c r="B533" s="82" t="s">
        <v>991</v>
      </c>
      <c r="C533" s="120" t="s">
        <v>929</v>
      </c>
      <c r="D533" s="28">
        <f t="shared" si="100"/>
        <v>0</v>
      </c>
      <c r="E533" s="29"/>
      <c r="F533" s="29"/>
      <c r="G533" s="29"/>
      <c r="H533" s="29"/>
      <c r="I533" s="29"/>
      <c r="J533" s="29"/>
      <c r="K533" s="29"/>
      <c r="L533" s="29"/>
      <c r="M533" s="29"/>
      <c r="N533" s="83"/>
      <c r="O533" s="83"/>
      <c r="P533" s="81"/>
    </row>
    <row r="534" spans="2:16" hidden="1" x14ac:dyDescent="0.3">
      <c r="B534" s="82" t="s">
        <v>992</v>
      </c>
      <c r="C534" s="120" t="s">
        <v>931</v>
      </c>
      <c r="D534" s="28">
        <f t="shared" si="100"/>
        <v>0</v>
      </c>
      <c r="E534" s="29"/>
      <c r="F534" s="29"/>
      <c r="G534" s="29"/>
      <c r="H534" s="29"/>
      <c r="I534" s="29"/>
      <c r="J534" s="29"/>
      <c r="K534" s="29"/>
      <c r="L534" s="29"/>
      <c r="M534" s="29"/>
      <c r="N534" s="83"/>
      <c r="O534" s="83"/>
      <c r="P534" s="81"/>
    </row>
    <row r="535" spans="2:16" hidden="1" x14ac:dyDescent="0.3">
      <c r="B535" s="82" t="s">
        <v>993</v>
      </c>
      <c r="C535" s="120" t="s">
        <v>933</v>
      </c>
      <c r="D535" s="28">
        <f t="shared" si="100"/>
        <v>0</v>
      </c>
      <c r="E535" s="29"/>
      <c r="F535" s="29"/>
      <c r="G535" s="29"/>
      <c r="H535" s="29"/>
      <c r="I535" s="29"/>
      <c r="J535" s="29"/>
      <c r="K535" s="29"/>
      <c r="L535" s="29"/>
      <c r="M535" s="29"/>
      <c r="N535" s="83"/>
      <c r="O535" s="83"/>
      <c r="P535" s="81"/>
    </row>
    <row r="536" spans="2:16" hidden="1" x14ac:dyDescent="0.3">
      <c r="B536" s="82" t="s">
        <v>994</v>
      </c>
      <c r="C536" s="120" t="s">
        <v>948</v>
      </c>
      <c r="D536" s="28">
        <f t="shared" si="100"/>
        <v>0</v>
      </c>
      <c r="E536" s="29"/>
      <c r="F536" s="29"/>
      <c r="G536" s="29"/>
      <c r="H536" s="29"/>
      <c r="I536" s="29"/>
      <c r="J536" s="29"/>
      <c r="K536" s="29"/>
      <c r="L536" s="29"/>
      <c r="M536" s="29"/>
      <c r="N536" s="31" t="str">
        <f>IF((D536&lt;=D528)*AND(E536&lt;=E528)*AND(F536&lt;=F528)*AND(G536&lt;=G528)*AND(H536&lt;=H528)*AND(I536&lt;=I528)*AND(K536&lt;=K528)*AND(L536&lt;=L528)*AND(M536&lt;=M528)*AND(J536&lt;=J528),"Выполнено","ПРОВЕРИТЬ (их не может быть больше общего числа служащих)")</f>
        <v>Выполнено</v>
      </c>
      <c r="O536" s="83"/>
      <c r="P536" s="81"/>
    </row>
    <row r="537" spans="2:16" hidden="1" x14ac:dyDescent="0.3">
      <c r="B537" s="82" t="s">
        <v>995</v>
      </c>
      <c r="C537" s="120" t="s">
        <v>937</v>
      </c>
      <c r="D537" s="35">
        <f t="shared" si="100"/>
        <v>0</v>
      </c>
      <c r="E537" s="37"/>
      <c r="F537" s="37"/>
      <c r="G537" s="37"/>
      <c r="H537" s="37"/>
      <c r="I537" s="37"/>
      <c r="J537" s="37"/>
      <c r="K537" s="37"/>
      <c r="L537" s="37"/>
      <c r="M537" s="37"/>
      <c r="N537" s="133" t="str">
        <f>IF((D537&lt;=D528)*AND(E537&lt;=E528)*AND(F537&lt;=F528)*AND(G537&lt;=G528)*AND(H537&lt;=H528)*AND(I537&lt;=I528)*AND(K537&lt;=K528)*AND(L537&lt;=L528)*AND(M537&lt;=M528)*AND(J537&lt;=J528),"Выполнено","ПРОВЕРИТЬ (их не может быть больше общего числа служащих)")</f>
        <v>Выполнено</v>
      </c>
      <c r="O537" s="134"/>
      <c r="P537" s="81"/>
    </row>
    <row r="538" spans="2:16" ht="43.2" hidden="1" x14ac:dyDescent="0.3">
      <c r="B538" s="93" t="s">
        <v>996</v>
      </c>
      <c r="C538" s="124" t="s">
        <v>997</v>
      </c>
      <c r="D538" s="40"/>
      <c r="E538" s="46"/>
      <c r="F538" s="46"/>
      <c r="G538" s="46"/>
      <c r="H538" s="46"/>
      <c r="I538" s="46"/>
      <c r="J538" s="46"/>
      <c r="K538" s="46"/>
      <c r="L538" s="46"/>
      <c r="M538" s="46"/>
      <c r="N538" s="135"/>
      <c r="O538" s="123"/>
      <c r="P538" s="81"/>
    </row>
    <row r="539" spans="2:16" ht="43.2" hidden="1" x14ac:dyDescent="0.3">
      <c r="B539" s="82" t="s">
        <v>998</v>
      </c>
      <c r="C539" s="120" t="s">
        <v>999</v>
      </c>
      <c r="D539" s="28">
        <f t="shared" si="100"/>
        <v>0</v>
      </c>
      <c r="E539" s="136">
        <f t="shared" ref="E539:M539" si="109">SUM(E540:E543)</f>
        <v>0</v>
      </c>
      <c r="F539" s="136">
        <f t="shared" si="109"/>
        <v>0</v>
      </c>
      <c r="G539" s="136">
        <f t="shared" si="109"/>
        <v>0</v>
      </c>
      <c r="H539" s="136">
        <f t="shared" si="109"/>
        <v>0</v>
      </c>
      <c r="I539" s="136">
        <f t="shared" si="109"/>
        <v>0</v>
      </c>
      <c r="J539" s="136">
        <f t="shared" si="109"/>
        <v>0</v>
      </c>
      <c r="K539" s="136">
        <f t="shared" si="109"/>
        <v>0</v>
      </c>
      <c r="L539" s="136">
        <f t="shared" si="109"/>
        <v>0</v>
      </c>
      <c r="M539" s="136">
        <f t="shared" si="109"/>
        <v>0</v>
      </c>
      <c r="N539" s="137"/>
      <c r="O539" s="138"/>
      <c r="P539" s="81"/>
    </row>
    <row r="540" spans="2:16" hidden="1" x14ac:dyDescent="0.3">
      <c r="B540" s="82" t="s">
        <v>1000</v>
      </c>
      <c r="C540" s="120" t="s">
        <v>1001</v>
      </c>
      <c r="D540" s="28">
        <f t="shared" si="100"/>
        <v>0</v>
      </c>
      <c r="E540" s="29"/>
      <c r="F540" s="29"/>
      <c r="G540" s="29"/>
      <c r="H540" s="29"/>
      <c r="I540" s="29"/>
      <c r="J540" s="29"/>
      <c r="K540" s="29"/>
      <c r="L540" s="29"/>
      <c r="M540" s="29"/>
      <c r="N540" s="30"/>
      <c r="O540" s="83"/>
      <c r="P540" s="81"/>
    </row>
    <row r="541" spans="2:16" hidden="1" x14ac:dyDescent="0.3">
      <c r="B541" s="82" t="s">
        <v>1002</v>
      </c>
      <c r="C541" s="120" t="s">
        <v>1003</v>
      </c>
      <c r="D541" s="28">
        <f t="shared" si="100"/>
        <v>0</v>
      </c>
      <c r="E541" s="29"/>
      <c r="F541" s="29"/>
      <c r="G541" s="29"/>
      <c r="H541" s="29"/>
      <c r="I541" s="29"/>
      <c r="J541" s="29"/>
      <c r="K541" s="29"/>
      <c r="L541" s="29"/>
      <c r="M541" s="29"/>
      <c r="N541" s="30"/>
      <c r="O541" s="83"/>
      <c r="P541" s="81"/>
    </row>
    <row r="542" spans="2:16" ht="43.2" hidden="1" x14ac:dyDescent="0.3">
      <c r="B542" s="82" t="s">
        <v>1004</v>
      </c>
      <c r="C542" s="120" t="s">
        <v>1005</v>
      </c>
      <c r="D542" s="28">
        <f t="shared" si="100"/>
        <v>0</v>
      </c>
      <c r="E542" s="29"/>
      <c r="F542" s="29"/>
      <c r="G542" s="29"/>
      <c r="H542" s="29"/>
      <c r="I542" s="29"/>
      <c r="J542" s="29"/>
      <c r="K542" s="29"/>
      <c r="L542" s="29"/>
      <c r="M542" s="29"/>
      <c r="N542" s="30"/>
      <c r="O542" s="83"/>
      <c r="P542" s="81"/>
    </row>
    <row r="543" spans="2:16" ht="43.2" hidden="1" x14ac:dyDescent="0.3">
      <c r="B543" s="82" t="s">
        <v>1006</v>
      </c>
      <c r="C543" s="120" t="s">
        <v>1007</v>
      </c>
      <c r="D543" s="28">
        <f t="shared" si="100"/>
        <v>0</v>
      </c>
      <c r="E543" s="29"/>
      <c r="F543" s="29"/>
      <c r="G543" s="29"/>
      <c r="H543" s="29"/>
      <c r="I543" s="29"/>
      <c r="J543" s="29"/>
      <c r="K543" s="29"/>
      <c r="L543" s="29"/>
      <c r="M543" s="29"/>
      <c r="N543" s="30"/>
      <c r="O543" s="83"/>
      <c r="P543" s="81"/>
    </row>
    <row r="544" spans="2:16" ht="43.2" hidden="1" x14ac:dyDescent="0.3">
      <c r="B544" s="82" t="s">
        <v>1008</v>
      </c>
      <c r="C544" s="120" t="s">
        <v>1009</v>
      </c>
      <c r="D544" s="28">
        <f t="shared" si="100"/>
        <v>0</v>
      </c>
      <c r="E544" s="29"/>
      <c r="F544" s="29"/>
      <c r="G544" s="29"/>
      <c r="H544" s="29"/>
      <c r="I544" s="29"/>
      <c r="J544" s="29"/>
      <c r="K544" s="29"/>
      <c r="L544" s="29"/>
      <c r="M544" s="29"/>
      <c r="N544" s="30"/>
      <c r="O544" s="83"/>
      <c r="P544" s="81"/>
    </row>
    <row r="545" spans="2:16" ht="43.2" hidden="1" x14ac:dyDescent="0.3">
      <c r="B545" s="47" t="s">
        <v>1010</v>
      </c>
      <c r="C545" s="22" t="s">
        <v>1011</v>
      </c>
      <c r="D545" s="23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5"/>
      <c r="P545" s="81"/>
    </row>
    <row r="546" spans="2:16" ht="28.8" hidden="1" x14ac:dyDescent="0.3">
      <c r="B546" s="21" t="s">
        <v>1012</v>
      </c>
      <c r="C546" s="1" t="s">
        <v>1013</v>
      </c>
      <c r="D546" s="28">
        <f t="shared" si="100"/>
        <v>0</v>
      </c>
      <c r="E546" s="50">
        <f t="shared" ref="E546:M546" si="110">SUM(E547:E552)</f>
        <v>0</v>
      </c>
      <c r="F546" s="50">
        <f t="shared" si="110"/>
        <v>0</v>
      </c>
      <c r="G546" s="50">
        <f t="shared" si="110"/>
        <v>0</v>
      </c>
      <c r="H546" s="50">
        <f t="shared" si="110"/>
        <v>0</v>
      </c>
      <c r="I546" s="50">
        <f t="shared" si="110"/>
        <v>0</v>
      </c>
      <c r="J546" s="50">
        <f>SUM(J547:J552)</f>
        <v>0</v>
      </c>
      <c r="K546" s="50">
        <f t="shared" si="110"/>
        <v>0</v>
      </c>
      <c r="L546" s="50">
        <f t="shared" si="110"/>
        <v>0</v>
      </c>
      <c r="M546" s="50">
        <f t="shared" si="110"/>
        <v>0</v>
      </c>
      <c r="N546" s="83"/>
      <c r="O546" s="83"/>
      <c r="P546" s="90"/>
    </row>
    <row r="547" spans="2:16" hidden="1" x14ac:dyDescent="0.3">
      <c r="B547" s="33" t="s">
        <v>1014</v>
      </c>
      <c r="C547" s="34" t="s">
        <v>1015</v>
      </c>
      <c r="D547" s="28">
        <f t="shared" si="100"/>
        <v>0</v>
      </c>
      <c r="E547" s="49"/>
      <c r="F547" s="49"/>
      <c r="G547" s="49"/>
      <c r="H547" s="49"/>
      <c r="I547" s="49"/>
      <c r="J547" s="49"/>
      <c r="K547" s="49"/>
      <c r="L547" s="49"/>
      <c r="M547" s="49"/>
      <c r="N547" s="83"/>
      <c r="O547" s="31" t="str">
        <f t="shared" ref="O547:O552" si="111">IF(((D547=0)),"   ","Нужно заполнить пункт 56 текстовой части - о случаях досрочного прекращения полномочий представительных органов муниципальных образований")</f>
        <v xml:space="preserve">   </v>
      </c>
      <c r="P547" s="114"/>
    </row>
    <row r="548" spans="2:16" ht="28.8" hidden="1" x14ac:dyDescent="0.3">
      <c r="B548" s="33" t="s">
        <v>1016</v>
      </c>
      <c r="C548" s="34" t="s">
        <v>1017</v>
      </c>
      <c r="D548" s="28">
        <f t="shared" si="100"/>
        <v>0</v>
      </c>
      <c r="E548" s="49"/>
      <c r="F548" s="49"/>
      <c r="G548" s="49"/>
      <c r="H548" s="49"/>
      <c r="I548" s="49"/>
      <c r="J548" s="49"/>
      <c r="K548" s="49"/>
      <c r="L548" s="49"/>
      <c r="M548" s="49"/>
      <c r="N548" s="83"/>
      <c r="O548" s="31" t="str">
        <f t="shared" si="111"/>
        <v xml:space="preserve">   </v>
      </c>
      <c r="P548" s="52"/>
    </row>
    <row r="549" spans="2:16" ht="28.8" hidden="1" x14ac:dyDescent="0.3">
      <c r="B549" s="33" t="s">
        <v>1018</v>
      </c>
      <c r="C549" s="34" t="s">
        <v>1019</v>
      </c>
      <c r="D549" s="28">
        <f t="shared" si="100"/>
        <v>0</v>
      </c>
      <c r="E549" s="49"/>
      <c r="F549" s="49"/>
      <c r="G549" s="49"/>
      <c r="H549" s="49"/>
      <c r="I549" s="49"/>
      <c r="J549" s="49"/>
      <c r="K549" s="49"/>
      <c r="L549" s="49"/>
      <c r="M549" s="49"/>
      <c r="N549" s="83"/>
      <c r="O549" s="31" t="str">
        <f t="shared" si="111"/>
        <v xml:space="preserve">   </v>
      </c>
      <c r="P549" s="81"/>
    </row>
    <row r="550" spans="2:16" ht="28.8" hidden="1" x14ac:dyDescent="0.3">
      <c r="B550" s="33" t="s">
        <v>1020</v>
      </c>
      <c r="C550" s="34" t="s">
        <v>1021</v>
      </c>
      <c r="D550" s="28">
        <f t="shared" si="100"/>
        <v>0</v>
      </c>
      <c r="E550" s="49"/>
      <c r="F550" s="49"/>
      <c r="G550" s="49"/>
      <c r="H550" s="49"/>
      <c r="I550" s="49"/>
      <c r="J550" s="49"/>
      <c r="K550" s="49"/>
      <c r="L550" s="49"/>
      <c r="M550" s="49"/>
      <c r="N550" s="83"/>
      <c r="O550" s="31" t="str">
        <f t="shared" si="111"/>
        <v xml:space="preserve">   </v>
      </c>
      <c r="P550" s="81"/>
    </row>
    <row r="551" spans="2:16" ht="57.6" hidden="1" x14ac:dyDescent="0.3">
      <c r="B551" s="33" t="s">
        <v>1022</v>
      </c>
      <c r="C551" s="34" t="s">
        <v>1023</v>
      </c>
      <c r="D551" s="28">
        <f t="shared" si="100"/>
        <v>0</v>
      </c>
      <c r="E551" s="49"/>
      <c r="F551" s="49"/>
      <c r="G551" s="49"/>
      <c r="H551" s="49"/>
      <c r="I551" s="49"/>
      <c r="J551" s="49"/>
      <c r="K551" s="49"/>
      <c r="L551" s="49"/>
      <c r="M551" s="49"/>
      <c r="N551" s="83"/>
      <c r="O551" s="31" t="str">
        <f t="shared" si="111"/>
        <v xml:space="preserve">   </v>
      </c>
      <c r="P551" s="90"/>
    </row>
    <row r="552" spans="2:16" hidden="1" x14ac:dyDescent="0.3">
      <c r="B552" s="33" t="s">
        <v>1024</v>
      </c>
      <c r="C552" s="34" t="s">
        <v>1025</v>
      </c>
      <c r="D552" s="28">
        <f t="shared" si="100"/>
        <v>0</v>
      </c>
      <c r="E552" s="49"/>
      <c r="F552" s="49"/>
      <c r="G552" s="49"/>
      <c r="H552" s="49"/>
      <c r="I552" s="49"/>
      <c r="J552" s="49"/>
      <c r="K552" s="49"/>
      <c r="L552" s="49"/>
      <c r="M552" s="49"/>
      <c r="N552" s="83"/>
      <c r="O552" s="31" t="str">
        <f t="shared" si="111"/>
        <v xml:space="preserve">   </v>
      </c>
      <c r="P552" s="114"/>
    </row>
    <row r="553" spans="2:16" ht="28.8" hidden="1" x14ac:dyDescent="0.3">
      <c r="B553" s="21" t="s">
        <v>1026</v>
      </c>
      <c r="C553" s="1" t="s">
        <v>1027</v>
      </c>
      <c r="D553" s="28">
        <f t="shared" si="100"/>
        <v>0</v>
      </c>
      <c r="E553" s="50">
        <f t="shared" ref="E553:M553" si="112">SUM(E554:E563)</f>
        <v>0</v>
      </c>
      <c r="F553" s="50">
        <f t="shared" si="112"/>
        <v>0</v>
      </c>
      <c r="G553" s="50">
        <f t="shared" si="112"/>
        <v>0</v>
      </c>
      <c r="H553" s="50">
        <f t="shared" si="112"/>
        <v>0</v>
      </c>
      <c r="I553" s="50">
        <f t="shared" si="112"/>
        <v>0</v>
      </c>
      <c r="J553" s="50">
        <f>SUM(J554:J563)</f>
        <v>0</v>
      </c>
      <c r="K553" s="50">
        <f t="shared" si="112"/>
        <v>0</v>
      </c>
      <c r="L553" s="50">
        <f t="shared" si="112"/>
        <v>0</v>
      </c>
      <c r="M553" s="50">
        <f t="shared" si="112"/>
        <v>0</v>
      </c>
      <c r="N553" s="83"/>
      <c r="O553" s="83"/>
      <c r="P553" s="52"/>
    </row>
    <row r="554" spans="2:16" hidden="1" x14ac:dyDescent="0.3">
      <c r="B554" s="82" t="s">
        <v>1028</v>
      </c>
      <c r="C554" s="1" t="s">
        <v>1029</v>
      </c>
      <c r="D554" s="28">
        <f t="shared" si="100"/>
        <v>0</v>
      </c>
      <c r="E554" s="29"/>
      <c r="F554" s="29"/>
      <c r="G554" s="29"/>
      <c r="H554" s="53"/>
      <c r="I554" s="53"/>
      <c r="J554" s="53"/>
      <c r="K554" s="53"/>
      <c r="L554" s="53"/>
      <c r="M554" s="53"/>
      <c r="N554" s="83"/>
      <c r="O554" s="83"/>
      <c r="P554" s="114"/>
    </row>
    <row r="555" spans="2:16" hidden="1" x14ac:dyDescent="0.3">
      <c r="B555" s="82" t="s">
        <v>1030</v>
      </c>
      <c r="C555" s="1" t="s">
        <v>1031</v>
      </c>
      <c r="D555" s="28">
        <f t="shared" si="100"/>
        <v>0</v>
      </c>
      <c r="E555" s="29"/>
      <c r="F555" s="29"/>
      <c r="G555" s="29"/>
      <c r="H555" s="53"/>
      <c r="I555" s="53"/>
      <c r="J555" s="53"/>
      <c r="K555" s="53"/>
      <c r="L555" s="53"/>
      <c r="M555" s="53"/>
      <c r="N555" s="83"/>
      <c r="O555" s="83"/>
      <c r="P555" s="114"/>
    </row>
    <row r="556" spans="2:16" hidden="1" x14ac:dyDescent="0.3">
      <c r="B556" s="33" t="s">
        <v>1032</v>
      </c>
      <c r="C556" s="34" t="s">
        <v>1033</v>
      </c>
      <c r="D556" s="28">
        <f t="shared" si="100"/>
        <v>0</v>
      </c>
      <c r="E556" s="49"/>
      <c r="F556" s="49"/>
      <c r="G556" s="49"/>
      <c r="H556" s="49"/>
      <c r="I556" s="49"/>
      <c r="J556" s="49"/>
      <c r="K556" s="49"/>
      <c r="L556" s="49"/>
      <c r="M556" s="49"/>
      <c r="N556" s="83"/>
      <c r="O556" s="31" t="str">
        <f t="shared" ref="O556:O563" si="113">IF(((D556=0)),"   ","Нужно заполнить пункт 57 текстовой части - о случаях досрочного прекращения полномочий глав муниципальных образований, не связанных с добровольной отставкой или смертью")</f>
        <v xml:space="preserve">   </v>
      </c>
      <c r="P556" s="52"/>
    </row>
    <row r="557" spans="2:16" ht="28.8" hidden="1" x14ac:dyDescent="0.3">
      <c r="B557" s="33" t="s">
        <v>1034</v>
      </c>
      <c r="C557" s="34" t="s">
        <v>1035</v>
      </c>
      <c r="D557" s="28">
        <f t="shared" si="100"/>
        <v>0</v>
      </c>
      <c r="E557" s="49"/>
      <c r="F557" s="49"/>
      <c r="G557" s="49"/>
      <c r="H557" s="49"/>
      <c r="I557" s="49"/>
      <c r="J557" s="49"/>
      <c r="K557" s="49"/>
      <c r="L557" s="49"/>
      <c r="M557" s="49"/>
      <c r="N557" s="83"/>
      <c r="O557" s="31" t="str">
        <f t="shared" si="113"/>
        <v xml:space="preserve">   </v>
      </c>
      <c r="P557" s="114"/>
    </row>
    <row r="558" spans="2:16" ht="28.8" hidden="1" x14ac:dyDescent="0.3">
      <c r="B558" s="33" t="s">
        <v>1036</v>
      </c>
      <c r="C558" s="34" t="s">
        <v>1037</v>
      </c>
      <c r="D558" s="28">
        <f t="shared" si="100"/>
        <v>0</v>
      </c>
      <c r="E558" s="49"/>
      <c r="F558" s="49"/>
      <c r="G558" s="49"/>
      <c r="H558" s="49"/>
      <c r="I558" s="49"/>
      <c r="J558" s="49"/>
      <c r="K558" s="49"/>
      <c r="L558" s="49"/>
      <c r="M558" s="49"/>
      <c r="N558" s="83"/>
      <c r="O558" s="31" t="str">
        <f t="shared" si="113"/>
        <v xml:space="preserve">   </v>
      </c>
      <c r="P558" s="114"/>
    </row>
    <row r="559" spans="2:16" ht="28.8" hidden="1" x14ac:dyDescent="0.3">
      <c r="B559" s="33" t="s">
        <v>1038</v>
      </c>
      <c r="C559" s="34" t="s">
        <v>1039</v>
      </c>
      <c r="D559" s="28">
        <f t="shared" si="100"/>
        <v>0</v>
      </c>
      <c r="E559" s="49"/>
      <c r="F559" s="49"/>
      <c r="G559" s="49"/>
      <c r="H559" s="49"/>
      <c r="I559" s="49"/>
      <c r="J559" s="49"/>
      <c r="K559" s="49"/>
      <c r="L559" s="49"/>
      <c r="M559" s="49"/>
      <c r="N559" s="83"/>
      <c r="O559" s="31" t="str">
        <f t="shared" si="113"/>
        <v xml:space="preserve">   </v>
      </c>
      <c r="P559" s="114"/>
    </row>
    <row r="560" spans="2:16" ht="43.2" hidden="1" x14ac:dyDescent="0.3">
      <c r="B560" s="33" t="s">
        <v>1040</v>
      </c>
      <c r="C560" s="34" t="s">
        <v>1041</v>
      </c>
      <c r="D560" s="28">
        <f t="shared" si="100"/>
        <v>0</v>
      </c>
      <c r="E560" s="49"/>
      <c r="F560" s="49"/>
      <c r="G560" s="49"/>
      <c r="H560" s="49"/>
      <c r="I560" s="49"/>
      <c r="J560" s="49"/>
      <c r="K560" s="49"/>
      <c r="L560" s="49"/>
      <c r="M560" s="49"/>
      <c r="N560" s="83"/>
      <c r="O560" s="31" t="str">
        <f t="shared" si="113"/>
        <v xml:space="preserve">   </v>
      </c>
      <c r="P560" s="52"/>
    </row>
    <row r="561" spans="2:16" ht="28.8" hidden="1" x14ac:dyDescent="0.3">
      <c r="B561" s="33" t="s">
        <v>1042</v>
      </c>
      <c r="C561" s="34" t="s">
        <v>1021</v>
      </c>
      <c r="D561" s="28">
        <f t="shared" si="100"/>
        <v>0</v>
      </c>
      <c r="E561" s="49"/>
      <c r="F561" s="49"/>
      <c r="G561" s="49"/>
      <c r="H561" s="49"/>
      <c r="I561" s="49"/>
      <c r="J561" s="49"/>
      <c r="K561" s="49"/>
      <c r="L561" s="49"/>
      <c r="M561" s="49"/>
      <c r="N561" s="83"/>
      <c r="O561" s="31" t="str">
        <f t="shared" si="113"/>
        <v xml:space="preserve">   </v>
      </c>
      <c r="P561" s="52"/>
    </row>
    <row r="562" spans="2:16" ht="57.6" hidden="1" x14ac:dyDescent="0.3">
      <c r="B562" s="33" t="s">
        <v>1043</v>
      </c>
      <c r="C562" s="34" t="s">
        <v>1023</v>
      </c>
      <c r="D562" s="28">
        <f t="shared" si="100"/>
        <v>0</v>
      </c>
      <c r="E562" s="49"/>
      <c r="F562" s="49"/>
      <c r="G562" s="49"/>
      <c r="H562" s="49"/>
      <c r="I562" s="49"/>
      <c r="J562" s="49"/>
      <c r="K562" s="49"/>
      <c r="L562" s="49"/>
      <c r="M562" s="49"/>
      <c r="N562" s="83"/>
      <c r="O562" s="31" t="str">
        <f t="shared" si="113"/>
        <v xml:space="preserve">   </v>
      </c>
      <c r="P562" s="52"/>
    </row>
    <row r="563" spans="2:16" hidden="1" x14ac:dyDescent="0.3">
      <c r="B563" s="33" t="s">
        <v>1044</v>
      </c>
      <c r="C563" s="34" t="s">
        <v>1045</v>
      </c>
      <c r="D563" s="28">
        <f t="shared" si="100"/>
        <v>0</v>
      </c>
      <c r="E563" s="49"/>
      <c r="F563" s="49"/>
      <c r="G563" s="49"/>
      <c r="H563" s="49"/>
      <c r="I563" s="49"/>
      <c r="J563" s="49"/>
      <c r="K563" s="49"/>
      <c r="L563" s="49"/>
      <c r="M563" s="49"/>
      <c r="N563" s="83"/>
      <c r="O563" s="31" t="str">
        <f t="shared" si="113"/>
        <v xml:space="preserve">   </v>
      </c>
      <c r="P563" s="52"/>
    </row>
    <row r="564" spans="2:16" ht="43.2" hidden="1" x14ac:dyDescent="0.3">
      <c r="B564" s="21" t="s">
        <v>1046</v>
      </c>
      <c r="C564" s="1" t="s">
        <v>1047</v>
      </c>
      <c r="D564" s="28">
        <f t="shared" si="100"/>
        <v>0</v>
      </c>
      <c r="E564" s="50">
        <f t="shared" ref="E564:L564" si="114">SUM(E565:E571)</f>
        <v>0</v>
      </c>
      <c r="F564" s="50">
        <f t="shared" si="114"/>
        <v>0</v>
      </c>
      <c r="G564" s="50">
        <f t="shared" si="114"/>
        <v>0</v>
      </c>
      <c r="H564" s="50">
        <f t="shared" si="114"/>
        <v>0</v>
      </c>
      <c r="I564" s="50">
        <f t="shared" si="114"/>
        <v>0</v>
      </c>
      <c r="J564" s="50">
        <f>SUM(J565:J571)</f>
        <v>0</v>
      </c>
      <c r="K564" s="50">
        <f t="shared" si="114"/>
        <v>0</v>
      </c>
      <c r="L564" s="50">
        <f t="shared" si="114"/>
        <v>0</v>
      </c>
      <c r="M564" s="50">
        <f>SUM(M565:M571)</f>
        <v>0</v>
      </c>
      <c r="N564" s="83"/>
      <c r="O564" s="83"/>
      <c r="P564" s="52"/>
    </row>
    <row r="565" spans="2:16" ht="43.2" hidden="1" x14ac:dyDescent="0.3">
      <c r="B565" s="139" t="s">
        <v>1048</v>
      </c>
      <c r="C565" s="1" t="s">
        <v>1049</v>
      </c>
      <c r="D565" s="28">
        <f t="shared" si="100"/>
        <v>0</v>
      </c>
      <c r="E565" s="53"/>
      <c r="F565" s="53"/>
      <c r="G565" s="53"/>
      <c r="H565" s="53"/>
      <c r="I565" s="53"/>
      <c r="J565" s="53"/>
      <c r="K565" s="53"/>
      <c r="L565" s="53"/>
      <c r="M565" s="53"/>
      <c r="N565" s="83"/>
      <c r="O565" s="83"/>
      <c r="P565" s="52"/>
    </row>
    <row r="566" spans="2:16" hidden="1" x14ac:dyDescent="0.3">
      <c r="B566" s="139" t="s">
        <v>1050</v>
      </c>
      <c r="C566" s="1" t="s">
        <v>1051</v>
      </c>
      <c r="D566" s="28">
        <f t="shared" si="100"/>
        <v>0</v>
      </c>
      <c r="E566" s="53"/>
      <c r="F566" s="53"/>
      <c r="G566" s="53"/>
      <c r="H566" s="53"/>
      <c r="I566" s="53"/>
      <c r="J566" s="53"/>
      <c r="K566" s="53"/>
      <c r="L566" s="53"/>
      <c r="M566" s="53"/>
      <c r="N566" s="83"/>
      <c r="O566" s="83"/>
      <c r="P566" s="52"/>
    </row>
    <row r="567" spans="2:16" ht="28.8" hidden="1" x14ac:dyDescent="0.3">
      <c r="B567" s="33" t="s">
        <v>1052</v>
      </c>
      <c r="C567" s="34" t="s">
        <v>1053</v>
      </c>
      <c r="D567" s="28">
        <f t="shared" si="100"/>
        <v>0</v>
      </c>
      <c r="E567" s="49"/>
      <c r="F567" s="49"/>
      <c r="G567" s="49"/>
      <c r="H567" s="49"/>
      <c r="I567" s="49"/>
      <c r="J567" s="49"/>
      <c r="K567" s="49"/>
      <c r="L567" s="49"/>
      <c r="M567" s="49"/>
      <c r="N567" s="83"/>
      <c r="O567" s="31" t="str">
        <f>IF(((D567=0)),"   ","Нужно заполнить пункт 57 текстовой части - о случаях досрочного прекращения полномочий глав муниципальных образований, не связанных с добровольной отставкой или смертью")</f>
        <v xml:space="preserve">   </v>
      </c>
      <c r="P567" s="52"/>
    </row>
    <row r="568" spans="2:16" hidden="1" x14ac:dyDescent="0.3">
      <c r="B568" s="33" t="s">
        <v>1054</v>
      </c>
      <c r="C568" s="34" t="s">
        <v>1055</v>
      </c>
      <c r="D568" s="28">
        <f t="shared" si="100"/>
        <v>0</v>
      </c>
      <c r="E568" s="49"/>
      <c r="F568" s="49"/>
      <c r="G568" s="49"/>
      <c r="H568" s="49"/>
      <c r="I568" s="49"/>
      <c r="J568" s="49"/>
      <c r="K568" s="49"/>
      <c r="L568" s="49"/>
      <c r="M568" s="49"/>
      <c r="N568" s="83"/>
      <c r="O568" s="31" t="str">
        <f>IF(((D568=0)),"   ","Нужно заполнить пункт 57 текстовой части - о случаях досрочного прекращения полномочий глав муниципальных образований, не связанных с добровольной отставкой или смертью")</f>
        <v xml:space="preserve">   </v>
      </c>
      <c r="P568" s="52"/>
    </row>
    <row r="569" spans="2:16" ht="28.8" hidden="1" x14ac:dyDescent="0.3">
      <c r="B569" s="33" t="s">
        <v>1056</v>
      </c>
      <c r="C569" s="34" t="s">
        <v>1021</v>
      </c>
      <c r="D569" s="28">
        <f t="shared" si="100"/>
        <v>0</v>
      </c>
      <c r="E569" s="49"/>
      <c r="F569" s="49"/>
      <c r="G569" s="49"/>
      <c r="H569" s="49"/>
      <c r="I569" s="49"/>
      <c r="J569" s="49"/>
      <c r="K569" s="49"/>
      <c r="L569" s="49"/>
      <c r="M569" s="49"/>
      <c r="N569" s="83"/>
      <c r="O569" s="31" t="str">
        <f>IF(((D569=0)),"   ","Нужно заполнить пункт 57 текстовой части - о случаях досрочного прекращения полномочий глав муниципальных образований, не связанных с добровольной отставкой или смертью")</f>
        <v xml:space="preserve">   </v>
      </c>
      <c r="P569" s="114"/>
    </row>
    <row r="570" spans="2:16" ht="57.6" hidden="1" x14ac:dyDescent="0.3">
      <c r="B570" s="33" t="s">
        <v>1057</v>
      </c>
      <c r="C570" s="34" t="s">
        <v>1023</v>
      </c>
      <c r="D570" s="28">
        <f t="shared" si="100"/>
        <v>0</v>
      </c>
      <c r="E570" s="49"/>
      <c r="F570" s="49"/>
      <c r="G570" s="49"/>
      <c r="H570" s="49"/>
      <c r="I570" s="49"/>
      <c r="J570" s="49"/>
      <c r="K570" s="49"/>
      <c r="L570" s="49"/>
      <c r="M570" s="49"/>
      <c r="N570" s="83"/>
      <c r="O570" s="31" t="str">
        <f>IF(((D570=0)),"   ","Нужно заполнить пункт 57 текстовой части - о случаях досрочного прекращения полномочий глав муниципальных образований, не связанных с добровольной отставкой или смертью")</f>
        <v xml:space="preserve">   </v>
      </c>
      <c r="P570" s="52"/>
    </row>
    <row r="571" spans="2:16" hidden="1" x14ac:dyDescent="0.3">
      <c r="B571" s="33" t="s">
        <v>1058</v>
      </c>
      <c r="C571" s="34" t="s">
        <v>1025</v>
      </c>
      <c r="D571" s="28">
        <f t="shared" si="100"/>
        <v>0</v>
      </c>
      <c r="E571" s="49"/>
      <c r="F571" s="49"/>
      <c r="G571" s="49"/>
      <c r="H571" s="49"/>
      <c r="I571" s="49"/>
      <c r="J571" s="49"/>
      <c r="K571" s="49"/>
      <c r="L571" s="49"/>
      <c r="M571" s="49"/>
      <c r="N571" s="83"/>
      <c r="O571" s="31" t="str">
        <f>IF(((D571=0)),"   ","Нужно заполнить пункт 57 текстовой части - о случаях досрочного прекращения полномочий глав муниципальных образований, не связанных с добровольной отставкой или смертью")</f>
        <v xml:space="preserve">   </v>
      </c>
      <c r="P571" s="114"/>
    </row>
    <row r="572" spans="2:16" ht="57.6" hidden="1" x14ac:dyDescent="0.3">
      <c r="B572" s="21" t="s">
        <v>1059</v>
      </c>
      <c r="C572" s="1" t="s">
        <v>1060</v>
      </c>
      <c r="D572" s="28">
        <f t="shared" si="100"/>
        <v>0</v>
      </c>
      <c r="E572" s="50">
        <f>SUM(E573:E575)</f>
        <v>0</v>
      </c>
      <c r="F572" s="50">
        <f t="shared" ref="F572:M572" si="115">SUM(F573:F575)</f>
        <v>0</v>
      </c>
      <c r="G572" s="50">
        <f t="shared" si="115"/>
        <v>0</v>
      </c>
      <c r="H572" s="50">
        <f t="shared" si="115"/>
        <v>0</v>
      </c>
      <c r="I572" s="50">
        <f t="shared" si="115"/>
        <v>0</v>
      </c>
      <c r="J572" s="50">
        <f>SUM(J573:J575)</f>
        <v>0</v>
      </c>
      <c r="K572" s="50">
        <f t="shared" si="115"/>
        <v>0</v>
      </c>
      <c r="L572" s="50">
        <f t="shared" si="115"/>
        <v>0</v>
      </c>
      <c r="M572" s="50">
        <f t="shared" si="115"/>
        <v>0</v>
      </c>
      <c r="N572" s="83"/>
      <c r="O572" s="83"/>
      <c r="P572" s="114"/>
    </row>
    <row r="573" spans="2:16" ht="28.8" hidden="1" x14ac:dyDescent="0.3">
      <c r="B573" s="33" t="s">
        <v>1061</v>
      </c>
      <c r="C573" s="34" t="s">
        <v>1062</v>
      </c>
      <c r="D573" s="28">
        <f t="shared" si="100"/>
        <v>0</v>
      </c>
      <c r="E573" s="49"/>
      <c r="F573" s="49"/>
      <c r="G573" s="49"/>
      <c r="H573" s="49"/>
      <c r="I573" s="49"/>
      <c r="J573" s="49"/>
      <c r="K573" s="49"/>
      <c r="L573" s="49"/>
      <c r="M573" s="49"/>
      <c r="N573" s="83"/>
      <c r="O573" s="31" t="str">
        <f>IF(((D573=0)),"   ","Нужно заполнить пункт 58 текстовой части - о случаях пересмотра соответствующих решений в судебном порядке")</f>
        <v xml:space="preserve">   </v>
      </c>
      <c r="P573" s="52"/>
    </row>
    <row r="574" spans="2:16" ht="43.2" hidden="1" x14ac:dyDescent="0.3">
      <c r="B574" s="33" t="s">
        <v>1063</v>
      </c>
      <c r="C574" s="34" t="s">
        <v>1064</v>
      </c>
      <c r="D574" s="28">
        <f t="shared" si="100"/>
        <v>0</v>
      </c>
      <c r="E574" s="49"/>
      <c r="F574" s="49"/>
      <c r="G574" s="49"/>
      <c r="H574" s="49"/>
      <c r="I574" s="49"/>
      <c r="J574" s="49"/>
      <c r="K574" s="49"/>
      <c r="L574" s="49"/>
      <c r="M574" s="49"/>
      <c r="N574" s="83"/>
      <c r="O574" s="31" t="str">
        <f>IF(((D574=0)),"   ","Нужно заполнить пункт 58 текстовой части - о случаях пересмотра соответствующих решений в судебном порядке")</f>
        <v xml:space="preserve">   </v>
      </c>
      <c r="P574" s="114"/>
    </row>
    <row r="575" spans="2:16" ht="43.2" hidden="1" x14ac:dyDescent="0.3">
      <c r="B575" s="33" t="s">
        <v>1065</v>
      </c>
      <c r="C575" s="34" t="s">
        <v>1066</v>
      </c>
      <c r="D575" s="28">
        <f t="shared" si="100"/>
        <v>0</v>
      </c>
      <c r="E575" s="49"/>
      <c r="F575" s="49"/>
      <c r="G575" s="49"/>
      <c r="H575" s="49"/>
      <c r="I575" s="49"/>
      <c r="J575" s="49"/>
      <c r="K575" s="49"/>
      <c r="L575" s="49"/>
      <c r="M575" s="49"/>
      <c r="N575" s="83"/>
      <c r="O575" s="31" t="str">
        <f>IF(((D575=0)),"   ","Нужно заполнить пункт 58 текстовой части - о случаях пересмотра соответствующих решений в судебном порядке")</f>
        <v xml:space="preserve">   </v>
      </c>
      <c r="P575" s="114"/>
    </row>
    <row r="576" spans="2:16" ht="43.2" hidden="1" x14ac:dyDescent="0.3">
      <c r="B576" s="21" t="s">
        <v>1067</v>
      </c>
      <c r="C576" s="1" t="s">
        <v>1068</v>
      </c>
      <c r="D576" s="23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5"/>
      <c r="P576" s="114"/>
    </row>
    <row r="577" spans="2:16" hidden="1" x14ac:dyDescent="0.3">
      <c r="B577" s="33" t="s">
        <v>1069</v>
      </c>
      <c r="C577" s="34" t="s">
        <v>1070</v>
      </c>
      <c r="D577" s="28">
        <f t="shared" si="100"/>
        <v>0</v>
      </c>
      <c r="E577" s="49"/>
      <c r="F577" s="49"/>
      <c r="G577" s="49"/>
      <c r="H577" s="49"/>
      <c r="I577" s="49"/>
      <c r="J577" s="49"/>
      <c r="K577" s="49"/>
      <c r="L577" s="49"/>
      <c r="M577" s="49"/>
      <c r="N577" s="83"/>
      <c r="O577" s="31" t="str">
        <f>IF(((D577=0)),"   ","Нужно заполнить пункт 59 текстовой части - о случаях временного отстранения должностных лиц в соответствии с УПК")</f>
        <v xml:space="preserve">   </v>
      </c>
      <c r="P577" s="52"/>
    </row>
    <row r="578" spans="2:16" hidden="1" x14ac:dyDescent="0.3">
      <c r="B578" s="33" t="s">
        <v>1071</v>
      </c>
      <c r="C578" s="34" t="s">
        <v>1072</v>
      </c>
      <c r="D578" s="28">
        <f t="shared" si="100"/>
        <v>0</v>
      </c>
      <c r="E578" s="49"/>
      <c r="F578" s="49"/>
      <c r="G578" s="49"/>
      <c r="H578" s="49"/>
      <c r="I578" s="49"/>
      <c r="J578" s="49"/>
      <c r="K578" s="49"/>
      <c r="L578" s="49"/>
      <c r="M578" s="49"/>
      <c r="N578" s="83"/>
      <c r="O578" s="31" t="str">
        <f>IF(((D578=0)),"   ","Нужно заполнить пункт 59 текстовой части - о случаях временного отстранения должностных лиц в соответствии с УПК")</f>
        <v xml:space="preserve">   </v>
      </c>
      <c r="P578" s="52"/>
    </row>
    <row r="579" spans="2:16" hidden="1" x14ac:dyDescent="0.3">
      <c r="B579" s="93" t="s">
        <v>1073</v>
      </c>
      <c r="C579" s="22" t="s">
        <v>1074</v>
      </c>
      <c r="D579" s="23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5"/>
      <c r="P579" s="52"/>
    </row>
    <row r="580" spans="2:16" ht="57.6" hidden="1" x14ac:dyDescent="0.3">
      <c r="B580" s="21" t="s">
        <v>1075</v>
      </c>
      <c r="C580" s="1" t="s">
        <v>1076</v>
      </c>
      <c r="D580" s="28">
        <f t="shared" ref="D580" si="116">SUM(E580:I580)+SUM(K580:M580)</f>
        <v>0</v>
      </c>
      <c r="E580" s="140"/>
      <c r="F580" s="140"/>
      <c r="G580" s="140"/>
      <c r="H580" s="140"/>
      <c r="I580" s="140"/>
      <c r="J580" s="140"/>
      <c r="K580" s="53"/>
      <c r="L580" s="53"/>
      <c r="M580" s="53"/>
      <c r="N580" s="31" t="str">
        <f>IF((D580&lt;=D$10)*AND(E580&lt;=E$10)*AND(F580&lt;=F$10)*AND(G580&lt;=G$10)*AND(H580&lt;=H$10)*AND(I580&lt;=I$10)*AND(K580&lt;=K$10)*AND(L580&lt;=L$10)*AND(M580&lt;=M$10)*AND(J580&lt;=J$10),"Выполнено","ПРОВЕРИТЬ (таких муниципальных образований не может быть больше их общего числа)")</f>
        <v>Выполнено</v>
      </c>
      <c r="O580" s="83"/>
      <c r="P580" s="52"/>
    </row>
    <row r="581" spans="2:16" ht="57.6" hidden="1" x14ac:dyDescent="0.3">
      <c r="B581" s="21" t="s">
        <v>1077</v>
      </c>
      <c r="C581" s="1" t="s">
        <v>1078</v>
      </c>
      <c r="D581" s="28">
        <f t="shared" si="100"/>
        <v>0</v>
      </c>
      <c r="E581" s="141">
        <f t="shared" ref="E581:M581" si="117">E582+E586+E590+E596</f>
        <v>0</v>
      </c>
      <c r="F581" s="141">
        <f t="shared" si="117"/>
        <v>0</v>
      </c>
      <c r="G581" s="141">
        <f t="shared" si="117"/>
        <v>0</v>
      </c>
      <c r="H581" s="141">
        <f t="shared" si="117"/>
        <v>0</v>
      </c>
      <c r="I581" s="141">
        <f t="shared" si="117"/>
        <v>0</v>
      </c>
      <c r="J581" s="141">
        <f t="shared" si="117"/>
        <v>0</v>
      </c>
      <c r="K581" s="141">
        <f t="shared" si="117"/>
        <v>0</v>
      </c>
      <c r="L581" s="141">
        <f t="shared" si="117"/>
        <v>0</v>
      </c>
      <c r="M581" s="141">
        <f t="shared" si="117"/>
        <v>0</v>
      </c>
      <c r="N581" s="31"/>
      <c r="O581" s="83"/>
      <c r="P581" s="52"/>
    </row>
    <row r="582" spans="2:16" hidden="1" x14ac:dyDescent="0.3">
      <c r="B582" s="82" t="s">
        <v>1079</v>
      </c>
      <c r="C582" s="1" t="s">
        <v>1080</v>
      </c>
      <c r="D582" s="28">
        <f t="shared" ref="D582" si="118">SUM(E582:I582)+SUM(K582:M582)</f>
        <v>0</v>
      </c>
      <c r="E582" s="64">
        <f t="shared" ref="E582:M582" si="119">SUM(E583:E585)</f>
        <v>0</v>
      </c>
      <c r="F582" s="64">
        <f t="shared" si="119"/>
        <v>0</v>
      </c>
      <c r="G582" s="64">
        <f t="shared" si="119"/>
        <v>0</v>
      </c>
      <c r="H582" s="64">
        <f t="shared" si="119"/>
        <v>0</v>
      </c>
      <c r="I582" s="64">
        <f t="shared" si="119"/>
        <v>0</v>
      </c>
      <c r="J582" s="64">
        <f t="shared" si="119"/>
        <v>0</v>
      </c>
      <c r="K582" s="64">
        <f t="shared" si="119"/>
        <v>0</v>
      </c>
      <c r="L582" s="64">
        <f t="shared" si="119"/>
        <v>0</v>
      </c>
      <c r="M582" s="64">
        <f t="shared" si="119"/>
        <v>0</v>
      </c>
      <c r="N582" s="31" t="str">
        <f>IF((D582&lt;=D581)*AND(E582&lt;=E581)*AND(F582&lt;=F581)*AND(G582&lt;=G581)*AND(H582&lt;=H581)*AND(I582&lt;=I581)*AND(K582&lt;=K581)*AND(L582&lt;=L581)*AND(M582&lt;=M581)*AND(J582&lt;=J581),"Выполнено","ПРОВЕРИТЬ (эта подстрока не может быть больше 22.2)
)")</f>
        <v>Выполнено</v>
      </c>
      <c r="O582" s="83"/>
      <c r="P582" s="114"/>
    </row>
    <row r="583" spans="2:16" hidden="1" x14ac:dyDescent="0.3">
      <c r="B583" s="82" t="s">
        <v>1081</v>
      </c>
      <c r="C583" s="1" t="s">
        <v>1082</v>
      </c>
      <c r="D583" s="28">
        <f>SUM(E583:I583)+SUM(K583:M583)</f>
        <v>0</v>
      </c>
      <c r="E583" s="53"/>
      <c r="F583" s="53"/>
      <c r="G583" s="53"/>
      <c r="H583" s="53"/>
      <c r="I583" s="53"/>
      <c r="J583" s="53"/>
      <c r="K583" s="53"/>
      <c r="L583" s="53"/>
      <c r="M583" s="53"/>
      <c r="N583" s="31"/>
      <c r="O583" s="83"/>
      <c r="P583" s="114"/>
    </row>
    <row r="584" spans="2:16" hidden="1" x14ac:dyDescent="0.3">
      <c r="B584" s="82" t="s">
        <v>1083</v>
      </c>
      <c r="C584" s="1" t="s">
        <v>1084</v>
      </c>
      <c r="D584" s="28">
        <f>SUM(E584:I584)+SUM(K584:M584)</f>
        <v>0</v>
      </c>
      <c r="E584" s="53"/>
      <c r="F584" s="53"/>
      <c r="G584" s="53"/>
      <c r="H584" s="53"/>
      <c r="I584" s="53"/>
      <c r="J584" s="53"/>
      <c r="K584" s="53"/>
      <c r="L584" s="53"/>
      <c r="M584" s="53"/>
      <c r="N584" s="31"/>
      <c r="O584" s="83"/>
      <c r="P584" s="114"/>
    </row>
    <row r="585" spans="2:16" hidden="1" x14ac:dyDescent="0.3">
      <c r="B585" s="82" t="s">
        <v>1085</v>
      </c>
      <c r="C585" s="1" t="s">
        <v>1086</v>
      </c>
      <c r="D585" s="28">
        <f>SUM(E585:I585)+SUM(K585:M585)</f>
        <v>0</v>
      </c>
      <c r="E585" s="53"/>
      <c r="F585" s="53"/>
      <c r="G585" s="53"/>
      <c r="H585" s="53"/>
      <c r="I585" s="53"/>
      <c r="J585" s="53"/>
      <c r="K585" s="53"/>
      <c r="L585" s="53"/>
      <c r="M585" s="53"/>
      <c r="N585" s="31"/>
      <c r="O585" s="83"/>
      <c r="P585" s="114"/>
    </row>
    <row r="586" spans="2:16" ht="28.8" hidden="1" x14ac:dyDescent="0.3">
      <c r="B586" s="82" t="s">
        <v>1087</v>
      </c>
      <c r="C586" s="1" t="s">
        <v>1088</v>
      </c>
      <c r="D586" s="28">
        <f t="shared" ref="D586" si="120">SUM(E586:I586)+SUM(K586:M586)</f>
        <v>0</v>
      </c>
      <c r="E586" s="64">
        <f t="shared" ref="E586:M586" si="121">SUM(E587:E589)</f>
        <v>0</v>
      </c>
      <c r="F586" s="64">
        <f t="shared" si="121"/>
        <v>0</v>
      </c>
      <c r="G586" s="64">
        <f t="shared" si="121"/>
        <v>0</v>
      </c>
      <c r="H586" s="64">
        <f t="shared" si="121"/>
        <v>0</v>
      </c>
      <c r="I586" s="64">
        <f t="shared" si="121"/>
        <v>0</v>
      </c>
      <c r="J586" s="64">
        <f t="shared" si="121"/>
        <v>0</v>
      </c>
      <c r="K586" s="64">
        <f t="shared" si="121"/>
        <v>0</v>
      </c>
      <c r="L586" s="64">
        <f t="shared" si="121"/>
        <v>0</v>
      </c>
      <c r="M586" s="64">
        <f t="shared" si="121"/>
        <v>0</v>
      </c>
      <c r="N586" s="31" t="str">
        <f>IF((D586&lt;=D581)*AND(E586&lt;=E581)*AND(F586&lt;=F581)*AND(G586&lt;=G581)*AND(H586&lt;=H581)*AND(I586&lt;=I581)*AND(K586&lt;=K581)*AND(L586&lt;=L581)*AND(M586&lt;=M581)*AND(J586&lt;=J581),"Выполнено","ПРОВЕРИТЬ (эта подстрока не может быть больше 22.2)
)")</f>
        <v>Выполнено</v>
      </c>
      <c r="O586" s="83"/>
      <c r="P586" s="52"/>
    </row>
    <row r="587" spans="2:16" hidden="1" x14ac:dyDescent="0.3">
      <c r="B587" s="82" t="s">
        <v>1089</v>
      </c>
      <c r="C587" s="1" t="s">
        <v>1090</v>
      </c>
      <c r="D587" s="28">
        <f>SUM(E587:I587)+SUM(K587:M587)</f>
        <v>0</v>
      </c>
      <c r="E587" s="53"/>
      <c r="F587" s="53"/>
      <c r="G587" s="53"/>
      <c r="H587" s="53"/>
      <c r="I587" s="53"/>
      <c r="J587" s="53"/>
      <c r="K587" s="53"/>
      <c r="L587" s="53"/>
      <c r="M587" s="53"/>
      <c r="N587" s="31"/>
      <c r="O587" s="83"/>
      <c r="P587" s="114"/>
    </row>
    <row r="588" spans="2:16" hidden="1" x14ac:dyDescent="0.3">
      <c r="B588" s="82" t="s">
        <v>1091</v>
      </c>
      <c r="C588" s="1" t="s">
        <v>1092</v>
      </c>
      <c r="D588" s="28">
        <f>SUM(E588:I588)+SUM(K588:M588)</f>
        <v>0</v>
      </c>
      <c r="E588" s="53"/>
      <c r="F588" s="53"/>
      <c r="G588" s="53"/>
      <c r="H588" s="53"/>
      <c r="I588" s="53"/>
      <c r="J588" s="53"/>
      <c r="K588" s="53"/>
      <c r="L588" s="53"/>
      <c r="M588" s="53"/>
      <c r="N588" s="31"/>
      <c r="O588" s="83"/>
      <c r="P588" s="114"/>
    </row>
    <row r="589" spans="2:16" hidden="1" x14ac:dyDescent="0.3">
      <c r="B589" s="82" t="s">
        <v>1093</v>
      </c>
      <c r="C589" s="1" t="s">
        <v>1094</v>
      </c>
      <c r="D589" s="28">
        <f>SUM(E589:I589)+SUM(K589:M589)</f>
        <v>0</v>
      </c>
      <c r="E589" s="53"/>
      <c r="F589" s="53"/>
      <c r="G589" s="53"/>
      <c r="H589" s="53"/>
      <c r="I589" s="53"/>
      <c r="J589" s="53"/>
      <c r="K589" s="53"/>
      <c r="L589" s="53"/>
      <c r="M589" s="53"/>
      <c r="N589" s="31"/>
      <c r="O589" s="83"/>
      <c r="P589" s="114"/>
    </row>
    <row r="590" spans="2:16" hidden="1" x14ac:dyDescent="0.3">
      <c r="B590" s="82" t="s">
        <v>1095</v>
      </c>
      <c r="C590" s="1" t="s">
        <v>1096</v>
      </c>
      <c r="D590" s="28">
        <f t="shared" ref="D590" si="122">SUM(E590:I590)+SUM(K590:M590)</f>
        <v>0</v>
      </c>
      <c r="E590" s="64">
        <f t="shared" ref="E590:M590" si="123">SUM(E591:E595)</f>
        <v>0</v>
      </c>
      <c r="F590" s="64">
        <f t="shared" si="123"/>
        <v>0</v>
      </c>
      <c r="G590" s="64">
        <f t="shared" si="123"/>
        <v>0</v>
      </c>
      <c r="H590" s="64">
        <f t="shared" si="123"/>
        <v>0</v>
      </c>
      <c r="I590" s="64">
        <f t="shared" si="123"/>
        <v>0</v>
      </c>
      <c r="J590" s="64">
        <f t="shared" si="123"/>
        <v>0</v>
      </c>
      <c r="K590" s="64">
        <f t="shared" si="123"/>
        <v>0</v>
      </c>
      <c r="L590" s="64">
        <f t="shared" si="123"/>
        <v>0</v>
      </c>
      <c r="M590" s="64">
        <f t="shared" si="123"/>
        <v>0</v>
      </c>
      <c r="N590" s="31" t="str">
        <f>IF((D590&lt;=D581)*AND(E590&lt;=E581)*AND(F590&lt;=F581)*AND(G590&lt;=G581)*AND(H590&lt;=H581)*AND(I590&lt;=I581)*AND(K590&lt;=K581)*AND(L590&lt;=L581)*AND(M590&lt;=M581)*AND(J590&lt;=J581),"Выполнено","ПРОВЕРИТЬ (эта подстрока не может быть больше 22.2)
)")</f>
        <v>Выполнено</v>
      </c>
      <c r="O590" s="83"/>
      <c r="P590" s="114"/>
    </row>
    <row r="591" spans="2:16" hidden="1" x14ac:dyDescent="0.3">
      <c r="B591" s="82" t="s">
        <v>1097</v>
      </c>
      <c r="C591" s="142" t="s">
        <v>1098</v>
      </c>
      <c r="D591" s="128">
        <f>SUM(E591:I591)+SUM(K591:M591)</f>
        <v>0</v>
      </c>
      <c r="E591" s="74"/>
      <c r="F591" s="74"/>
      <c r="G591" s="74"/>
      <c r="H591" s="74"/>
      <c r="I591" s="74"/>
      <c r="J591" s="74"/>
      <c r="K591" s="74"/>
      <c r="L591" s="74"/>
      <c r="M591" s="74"/>
      <c r="N591" s="143"/>
      <c r="O591" s="138"/>
      <c r="P591" s="114"/>
    </row>
    <row r="592" spans="2:16" hidden="1" x14ac:dyDescent="0.3">
      <c r="B592" s="82" t="s">
        <v>1099</v>
      </c>
      <c r="C592" s="142" t="s">
        <v>1100</v>
      </c>
      <c r="D592" s="28">
        <f>SUM(E592:I592)+SUM(K592:M592)</f>
        <v>0</v>
      </c>
      <c r="E592" s="53"/>
      <c r="F592" s="53"/>
      <c r="G592" s="53"/>
      <c r="H592" s="53"/>
      <c r="I592" s="53"/>
      <c r="J592" s="53"/>
      <c r="K592" s="53"/>
      <c r="L592" s="53"/>
      <c r="M592" s="53"/>
      <c r="N592" s="31"/>
      <c r="O592" s="83"/>
      <c r="P592" s="114"/>
    </row>
    <row r="593" spans="2:16" hidden="1" x14ac:dyDescent="0.3">
      <c r="B593" s="82" t="s">
        <v>1101</v>
      </c>
      <c r="C593" s="142" t="s">
        <v>1102</v>
      </c>
      <c r="D593" s="28">
        <f>SUM(E593:I593)+SUM(K593:M593)</f>
        <v>0</v>
      </c>
      <c r="E593" s="53"/>
      <c r="F593" s="53"/>
      <c r="G593" s="53"/>
      <c r="H593" s="53"/>
      <c r="I593" s="53"/>
      <c r="J593" s="53"/>
      <c r="K593" s="53"/>
      <c r="L593" s="53"/>
      <c r="M593" s="53"/>
      <c r="N593" s="31"/>
      <c r="O593" s="83"/>
      <c r="P593" s="114"/>
    </row>
    <row r="594" spans="2:16" hidden="1" x14ac:dyDescent="0.3">
      <c r="B594" s="82" t="s">
        <v>1103</v>
      </c>
      <c r="C594" s="142" t="s">
        <v>1104</v>
      </c>
      <c r="D594" s="28">
        <f>SUM(E594:I594)+SUM(K594:M594)</f>
        <v>0</v>
      </c>
      <c r="E594" s="53"/>
      <c r="F594" s="53"/>
      <c r="G594" s="53"/>
      <c r="H594" s="53"/>
      <c r="I594" s="53"/>
      <c r="J594" s="53"/>
      <c r="K594" s="53"/>
      <c r="L594" s="53"/>
      <c r="M594" s="53"/>
      <c r="N594" s="31"/>
      <c r="O594" s="83"/>
      <c r="P594" s="114"/>
    </row>
    <row r="595" spans="2:16" hidden="1" x14ac:dyDescent="0.3">
      <c r="B595" s="82" t="s">
        <v>1105</v>
      </c>
      <c r="C595" s="142" t="s">
        <v>1106</v>
      </c>
      <c r="D595" s="28">
        <f>SUM(E595:I595)+SUM(K595:M595)</f>
        <v>0</v>
      </c>
      <c r="E595" s="53"/>
      <c r="F595" s="53"/>
      <c r="G595" s="53"/>
      <c r="H595" s="53"/>
      <c r="I595" s="53"/>
      <c r="J595" s="53"/>
      <c r="K595" s="53"/>
      <c r="L595" s="53"/>
      <c r="M595" s="53"/>
      <c r="N595" s="31"/>
      <c r="O595" s="83"/>
      <c r="P595" s="114"/>
    </row>
    <row r="596" spans="2:16" hidden="1" x14ac:dyDescent="0.3">
      <c r="B596" s="82" t="s">
        <v>1107</v>
      </c>
      <c r="C596" s="1" t="s">
        <v>1108</v>
      </c>
      <c r="D596" s="28">
        <f t="shared" ref="D596:D629" si="124">SUM(E596:I596)+SUM(K596:M596)</f>
        <v>0</v>
      </c>
      <c r="E596" s="140"/>
      <c r="F596" s="140"/>
      <c r="G596" s="140"/>
      <c r="H596" s="140"/>
      <c r="I596" s="140"/>
      <c r="J596" s="140"/>
      <c r="K596" s="53"/>
      <c r="L596" s="53"/>
      <c r="M596" s="53"/>
      <c r="N596" s="31" t="str">
        <f>IF((D596&lt;=D581)*AND(E596&lt;=E581)*AND(F596&lt;=F581)*AND(G596&lt;=G581)*AND(H596&lt;=H581)*AND(I596&lt;=I581)*AND(K596&lt;=K581)*AND(L596&lt;=L581)*AND(M596&lt;=M581)*AND(J596&lt;=J581),"Выполнено","ПРОВЕРИТЬ (эта подстрока не может быть больше 22.1)
)")</f>
        <v>Выполнено</v>
      </c>
      <c r="O596" s="83"/>
      <c r="P596" s="52"/>
    </row>
    <row r="597" spans="2:16" ht="57.6" hidden="1" x14ac:dyDescent="0.3">
      <c r="B597" s="82" t="s">
        <v>1109</v>
      </c>
      <c r="C597" s="1" t="s">
        <v>1110</v>
      </c>
      <c r="D597" s="28">
        <f t="shared" si="124"/>
        <v>0</v>
      </c>
      <c r="E597" s="53"/>
      <c r="F597" s="53"/>
      <c r="G597" s="53"/>
      <c r="H597" s="53"/>
      <c r="I597" s="53"/>
      <c r="J597" s="53"/>
      <c r="K597" s="53"/>
      <c r="L597" s="53"/>
      <c r="M597" s="53"/>
      <c r="N597" s="31" t="str">
        <f>IF((D597&lt;=D$10)*AND(E597&lt;=E$10)*AND(F597&lt;=F$10)*AND(G597&lt;=G$10)*AND(H597&lt;=H$10)*AND(I597&lt;=I$10)*AND(K597&lt;=K$10)*AND(L597&lt;=L$10)*AND(M597&lt;=M$10)*AND(J597&lt;=J$10),"Выполнено","ПРОВЕРИТЬ (таких муниципальных образований не может быть больше их общего числа)")</f>
        <v>Выполнено</v>
      </c>
      <c r="O597" s="83"/>
      <c r="P597" s="52"/>
    </row>
    <row r="598" spans="2:16" ht="57.6" hidden="1" x14ac:dyDescent="0.3">
      <c r="B598" s="82" t="s">
        <v>1111</v>
      </c>
      <c r="C598" s="1" t="s">
        <v>1112</v>
      </c>
      <c r="D598" s="28">
        <f t="shared" si="124"/>
        <v>0</v>
      </c>
      <c r="E598" s="141">
        <f t="shared" ref="E598:M598" si="125">E599+E603+E607+E613+E619</f>
        <v>0</v>
      </c>
      <c r="F598" s="141">
        <f t="shared" si="125"/>
        <v>0</v>
      </c>
      <c r="G598" s="141">
        <f t="shared" si="125"/>
        <v>0</v>
      </c>
      <c r="H598" s="141">
        <f t="shared" si="125"/>
        <v>0</v>
      </c>
      <c r="I598" s="141">
        <f t="shared" si="125"/>
        <v>0</v>
      </c>
      <c r="J598" s="141">
        <f t="shared" si="125"/>
        <v>0</v>
      </c>
      <c r="K598" s="141">
        <f t="shared" si="125"/>
        <v>0</v>
      </c>
      <c r="L598" s="141">
        <f t="shared" si="125"/>
        <v>0</v>
      </c>
      <c r="M598" s="141">
        <f t="shared" si="125"/>
        <v>0</v>
      </c>
      <c r="N598" s="31"/>
      <c r="O598" s="83"/>
      <c r="P598" s="52"/>
    </row>
    <row r="599" spans="2:16" hidden="1" x14ac:dyDescent="0.3">
      <c r="B599" s="82" t="s">
        <v>1113</v>
      </c>
      <c r="C599" s="1" t="s">
        <v>1080</v>
      </c>
      <c r="D599" s="28">
        <f t="shared" si="124"/>
        <v>0</v>
      </c>
      <c r="E599" s="64">
        <f t="shared" ref="E599:M599" si="126">SUM(E600:E602)</f>
        <v>0</v>
      </c>
      <c r="F599" s="64">
        <f t="shared" si="126"/>
        <v>0</v>
      </c>
      <c r="G599" s="64">
        <f t="shared" si="126"/>
        <v>0</v>
      </c>
      <c r="H599" s="64">
        <f t="shared" si="126"/>
        <v>0</v>
      </c>
      <c r="I599" s="64">
        <f t="shared" si="126"/>
        <v>0</v>
      </c>
      <c r="J599" s="64">
        <f t="shared" si="126"/>
        <v>0</v>
      </c>
      <c r="K599" s="64">
        <f t="shared" si="126"/>
        <v>0</v>
      </c>
      <c r="L599" s="64">
        <f t="shared" si="126"/>
        <v>0</v>
      </c>
      <c r="M599" s="64">
        <f t="shared" si="126"/>
        <v>0</v>
      </c>
      <c r="N599" s="31" t="str">
        <f>IF((D599&lt;=D598)*AND(E599&lt;=E598)*AND(F599&lt;=F598)*AND(G599&lt;=G598)*AND(H599&lt;=H598)*AND(I599&lt;=I598)*AND(K599&lt;=K598)*AND(L599&lt;=L598)*AND(M599&lt;=M598)*AND(J599&lt;=J598),"Выполнено","ПРОВЕРИТЬ (эта подстрока не может быть больше 22.2)
)")</f>
        <v>Выполнено</v>
      </c>
      <c r="O599" s="83"/>
      <c r="P599" s="114"/>
    </row>
    <row r="600" spans="2:16" hidden="1" x14ac:dyDescent="0.3">
      <c r="B600" s="82" t="s">
        <v>1114</v>
      </c>
      <c r="C600" s="1" t="s">
        <v>1082</v>
      </c>
      <c r="D600" s="28">
        <f>SUM(E600:I600)+SUM(K600:M600)</f>
        <v>0</v>
      </c>
      <c r="E600" s="53"/>
      <c r="F600" s="53"/>
      <c r="G600" s="53"/>
      <c r="H600" s="53"/>
      <c r="I600" s="53"/>
      <c r="J600" s="53"/>
      <c r="K600" s="53"/>
      <c r="L600" s="53"/>
      <c r="M600" s="53"/>
      <c r="N600" s="31"/>
      <c r="O600" s="83"/>
      <c r="P600" s="114"/>
    </row>
    <row r="601" spans="2:16" hidden="1" x14ac:dyDescent="0.3">
      <c r="B601" s="82" t="s">
        <v>1115</v>
      </c>
      <c r="C601" s="1" t="s">
        <v>1084</v>
      </c>
      <c r="D601" s="28">
        <f>SUM(E601:I601)+SUM(K601:M601)</f>
        <v>0</v>
      </c>
      <c r="E601" s="53"/>
      <c r="F601" s="53"/>
      <c r="G601" s="53"/>
      <c r="H601" s="53"/>
      <c r="I601" s="53"/>
      <c r="J601" s="53"/>
      <c r="K601" s="53"/>
      <c r="L601" s="53"/>
      <c r="M601" s="53"/>
      <c r="N601" s="31"/>
      <c r="O601" s="83"/>
      <c r="P601" s="114"/>
    </row>
    <row r="602" spans="2:16" hidden="1" x14ac:dyDescent="0.3">
      <c r="B602" s="82" t="s">
        <v>1116</v>
      </c>
      <c r="C602" s="1" t="s">
        <v>1086</v>
      </c>
      <c r="D602" s="28">
        <f>SUM(E602:I602)+SUM(K602:M602)</f>
        <v>0</v>
      </c>
      <c r="E602" s="53"/>
      <c r="F602" s="53"/>
      <c r="G602" s="53"/>
      <c r="H602" s="53"/>
      <c r="I602" s="53"/>
      <c r="J602" s="53"/>
      <c r="K602" s="53"/>
      <c r="L602" s="53"/>
      <c r="M602" s="53"/>
      <c r="N602" s="31"/>
      <c r="O602" s="83"/>
      <c r="P602" s="114"/>
    </row>
    <row r="603" spans="2:16" ht="28.8" hidden="1" x14ac:dyDescent="0.3">
      <c r="B603" s="82" t="s">
        <v>1117</v>
      </c>
      <c r="C603" s="1" t="s">
        <v>1088</v>
      </c>
      <c r="D603" s="28">
        <f t="shared" si="124"/>
        <v>0</v>
      </c>
      <c r="E603" s="64">
        <f t="shared" ref="E603:M603" si="127">SUM(E604:E606)</f>
        <v>0</v>
      </c>
      <c r="F603" s="64">
        <f t="shared" si="127"/>
        <v>0</v>
      </c>
      <c r="G603" s="64">
        <f t="shared" si="127"/>
        <v>0</v>
      </c>
      <c r="H603" s="64">
        <f t="shared" si="127"/>
        <v>0</v>
      </c>
      <c r="I603" s="64">
        <f t="shared" si="127"/>
        <v>0</v>
      </c>
      <c r="J603" s="64">
        <f t="shared" si="127"/>
        <v>0</v>
      </c>
      <c r="K603" s="64">
        <f t="shared" si="127"/>
        <v>0</v>
      </c>
      <c r="L603" s="64">
        <f t="shared" si="127"/>
        <v>0</v>
      </c>
      <c r="M603" s="64">
        <f t="shared" si="127"/>
        <v>0</v>
      </c>
      <c r="N603" s="31" t="str">
        <f>IF((D603&lt;=D598)*AND(E603&lt;=E598)*AND(F603&lt;=F598)*AND(G603&lt;=G598)*AND(H603&lt;=H598)*AND(I603&lt;=I598)*AND(K603&lt;=K598)*AND(L603&lt;=L598)*AND(M603&lt;=M598)*AND(J603&lt;=J598),"Выполнено","ПРОВЕРИТЬ (эта подстрока не может быть больше 22.2)
)")</f>
        <v>Выполнено</v>
      </c>
      <c r="O603" s="83"/>
      <c r="P603" s="52"/>
    </row>
    <row r="604" spans="2:16" hidden="1" x14ac:dyDescent="0.3">
      <c r="B604" s="82" t="s">
        <v>1118</v>
      </c>
      <c r="C604" s="1" t="s">
        <v>1090</v>
      </c>
      <c r="D604" s="28">
        <f>SUM(E604:I604)+SUM(K604:M604)</f>
        <v>0</v>
      </c>
      <c r="E604" s="53"/>
      <c r="F604" s="53"/>
      <c r="G604" s="53"/>
      <c r="H604" s="53"/>
      <c r="I604" s="53"/>
      <c r="J604" s="53"/>
      <c r="K604" s="53"/>
      <c r="L604" s="53"/>
      <c r="M604" s="53"/>
      <c r="N604" s="31"/>
      <c r="O604" s="83"/>
      <c r="P604" s="114"/>
    </row>
    <row r="605" spans="2:16" hidden="1" x14ac:dyDescent="0.3">
      <c r="B605" s="82" t="s">
        <v>1119</v>
      </c>
      <c r="C605" s="1" t="s">
        <v>1092</v>
      </c>
      <c r="D605" s="28">
        <f>SUM(E605:I605)+SUM(K605:M605)</f>
        <v>0</v>
      </c>
      <c r="E605" s="53"/>
      <c r="F605" s="53"/>
      <c r="G605" s="53"/>
      <c r="H605" s="53"/>
      <c r="I605" s="53"/>
      <c r="J605" s="53"/>
      <c r="K605" s="53"/>
      <c r="L605" s="53"/>
      <c r="M605" s="53"/>
      <c r="N605" s="31"/>
      <c r="O605" s="83"/>
      <c r="P605" s="114"/>
    </row>
    <row r="606" spans="2:16" hidden="1" x14ac:dyDescent="0.3">
      <c r="B606" s="82" t="s">
        <v>1120</v>
      </c>
      <c r="C606" s="1" t="s">
        <v>1094</v>
      </c>
      <c r="D606" s="28">
        <f>SUM(E606:I606)+SUM(K606:M606)</f>
        <v>0</v>
      </c>
      <c r="E606" s="53"/>
      <c r="F606" s="53"/>
      <c r="G606" s="53"/>
      <c r="H606" s="53"/>
      <c r="I606" s="53"/>
      <c r="J606" s="53"/>
      <c r="K606" s="53"/>
      <c r="L606" s="53"/>
      <c r="M606" s="53"/>
      <c r="N606" s="31"/>
      <c r="O606" s="83"/>
      <c r="P606" s="114"/>
    </row>
    <row r="607" spans="2:16" hidden="1" x14ac:dyDescent="0.3">
      <c r="B607" s="82" t="s">
        <v>1121</v>
      </c>
      <c r="C607" s="1" t="s">
        <v>1096</v>
      </c>
      <c r="D607" s="28">
        <f t="shared" si="124"/>
        <v>0</v>
      </c>
      <c r="E607" s="64">
        <f t="shared" ref="E607:M607" si="128">SUM(E608:E612)</f>
        <v>0</v>
      </c>
      <c r="F607" s="64">
        <f t="shared" si="128"/>
        <v>0</v>
      </c>
      <c r="G607" s="64">
        <f t="shared" si="128"/>
        <v>0</v>
      </c>
      <c r="H607" s="64">
        <f t="shared" si="128"/>
        <v>0</v>
      </c>
      <c r="I607" s="64">
        <f t="shared" si="128"/>
        <v>0</v>
      </c>
      <c r="J607" s="64">
        <f t="shared" si="128"/>
        <v>0</v>
      </c>
      <c r="K607" s="64">
        <f t="shared" si="128"/>
        <v>0</v>
      </c>
      <c r="L607" s="64">
        <f t="shared" si="128"/>
        <v>0</v>
      </c>
      <c r="M607" s="64">
        <f t="shared" si="128"/>
        <v>0</v>
      </c>
      <c r="N607" s="31" t="str">
        <f>IF((D607&lt;=D598)*AND(E607&lt;=E598)*AND(F607&lt;=F598)*AND(G607&lt;=G598)*AND(H607&lt;=H598)*AND(I607&lt;=I598)*AND(K607&lt;=K598)*AND(L607&lt;=L598)*AND(M607&lt;=M598)*AND(J607&lt;=J598),"Выполнено","ПРОВЕРИТЬ (эта подстрока не может быть больше 22.2)
)")</f>
        <v>Выполнено</v>
      </c>
      <c r="O607" s="83"/>
      <c r="P607" s="114"/>
    </row>
    <row r="608" spans="2:16" hidden="1" x14ac:dyDescent="0.3">
      <c r="B608" s="82" t="s">
        <v>1122</v>
      </c>
      <c r="C608" s="142" t="s">
        <v>1098</v>
      </c>
      <c r="D608" s="128">
        <f>SUM(E608:I608)+SUM(K608:M608)</f>
        <v>0</v>
      </c>
      <c r="E608" s="74"/>
      <c r="F608" s="74"/>
      <c r="G608" s="74"/>
      <c r="H608" s="74"/>
      <c r="I608" s="74"/>
      <c r="J608" s="74"/>
      <c r="K608" s="74"/>
      <c r="L608" s="74"/>
      <c r="M608" s="74"/>
      <c r="N608" s="143"/>
      <c r="O608" s="138"/>
      <c r="P608" s="114"/>
    </row>
    <row r="609" spans="2:16" hidden="1" x14ac:dyDescent="0.3">
      <c r="B609" s="82" t="s">
        <v>1123</v>
      </c>
      <c r="C609" s="142" t="s">
        <v>1100</v>
      </c>
      <c r="D609" s="28">
        <f>SUM(E609:I609)+SUM(K609:M609)</f>
        <v>0</v>
      </c>
      <c r="E609" s="53"/>
      <c r="F609" s="53"/>
      <c r="G609" s="53"/>
      <c r="H609" s="53"/>
      <c r="I609" s="53"/>
      <c r="J609" s="53"/>
      <c r="K609" s="53"/>
      <c r="L609" s="53"/>
      <c r="M609" s="53"/>
      <c r="N609" s="31"/>
      <c r="O609" s="83"/>
      <c r="P609" s="114"/>
    </row>
    <row r="610" spans="2:16" hidden="1" x14ac:dyDescent="0.3">
      <c r="B610" s="82" t="s">
        <v>1124</v>
      </c>
      <c r="C610" s="142" t="s">
        <v>1102</v>
      </c>
      <c r="D610" s="28">
        <f>SUM(E610:I610)+SUM(K610:M610)</f>
        <v>0</v>
      </c>
      <c r="E610" s="53"/>
      <c r="F610" s="53"/>
      <c r="G610" s="53"/>
      <c r="H610" s="53"/>
      <c r="I610" s="53"/>
      <c r="J610" s="53"/>
      <c r="K610" s="53"/>
      <c r="L610" s="53"/>
      <c r="M610" s="53"/>
      <c r="N610" s="31"/>
      <c r="O610" s="83"/>
      <c r="P610" s="114"/>
    </row>
    <row r="611" spans="2:16" hidden="1" x14ac:dyDescent="0.3">
      <c r="B611" s="82" t="s">
        <v>1125</v>
      </c>
      <c r="C611" s="142" t="s">
        <v>1104</v>
      </c>
      <c r="D611" s="28">
        <f>SUM(E611:I611)+SUM(K611:M611)</f>
        <v>0</v>
      </c>
      <c r="E611" s="53"/>
      <c r="F611" s="53"/>
      <c r="G611" s="53"/>
      <c r="H611" s="53"/>
      <c r="I611" s="53"/>
      <c r="J611" s="53"/>
      <c r="K611" s="53"/>
      <c r="L611" s="53"/>
      <c r="M611" s="53"/>
      <c r="N611" s="31"/>
      <c r="O611" s="83"/>
      <c r="P611" s="114"/>
    </row>
    <row r="612" spans="2:16" hidden="1" x14ac:dyDescent="0.3">
      <c r="B612" s="82" t="s">
        <v>1126</v>
      </c>
      <c r="C612" s="142" t="s">
        <v>1106</v>
      </c>
      <c r="D612" s="28">
        <f>SUM(E612:I612)+SUM(K612:M612)</f>
        <v>0</v>
      </c>
      <c r="E612" s="53"/>
      <c r="F612" s="53"/>
      <c r="G612" s="53"/>
      <c r="H612" s="53"/>
      <c r="I612" s="53"/>
      <c r="J612" s="53"/>
      <c r="K612" s="53"/>
      <c r="L612" s="53"/>
      <c r="M612" s="53"/>
      <c r="N612" s="31"/>
      <c r="O612" s="83"/>
      <c r="P612" s="114"/>
    </row>
    <row r="613" spans="2:16" hidden="1" x14ac:dyDescent="0.3">
      <c r="B613" s="82" t="s">
        <v>1127</v>
      </c>
      <c r="C613" s="1" t="s">
        <v>1128</v>
      </c>
      <c r="D613" s="28">
        <f t="shared" ref="D613" si="129">SUM(E613:I613)+SUM(K613:M613)</f>
        <v>0</v>
      </c>
      <c r="E613" s="64">
        <f t="shared" ref="E613:M613" si="130">SUM(E614:E618)</f>
        <v>0</v>
      </c>
      <c r="F613" s="64">
        <f t="shared" si="130"/>
        <v>0</v>
      </c>
      <c r="G613" s="64">
        <f t="shared" si="130"/>
        <v>0</v>
      </c>
      <c r="H613" s="64">
        <f t="shared" si="130"/>
        <v>0</v>
      </c>
      <c r="I613" s="64">
        <f t="shared" si="130"/>
        <v>0</v>
      </c>
      <c r="J613" s="64">
        <f t="shared" si="130"/>
        <v>0</v>
      </c>
      <c r="K613" s="64">
        <f t="shared" si="130"/>
        <v>0</v>
      </c>
      <c r="L613" s="64">
        <f t="shared" si="130"/>
        <v>0</v>
      </c>
      <c r="M613" s="64">
        <f t="shared" si="130"/>
        <v>0</v>
      </c>
      <c r="N613" s="31" t="str">
        <f>IF((D613&lt;=D598)*AND(E613&lt;=E598)*AND(F613&lt;=F598)*AND(G613&lt;=G598)*AND(H613&lt;=H598)*AND(I613&lt;=I598)*AND(K613&lt;=K598)*AND(L613&lt;=L598)*AND(M613&lt;=M598)*AND(J613&lt;=J598),"Выполнено","ПРОВЕРИТЬ (эта подстрока не может быть больше 22.2)
)")</f>
        <v>Выполнено</v>
      </c>
      <c r="O613" s="83"/>
      <c r="P613" s="114"/>
    </row>
    <row r="614" spans="2:16" hidden="1" x14ac:dyDescent="0.3">
      <c r="B614" s="82" t="s">
        <v>1129</v>
      </c>
      <c r="C614" s="142" t="s">
        <v>1098</v>
      </c>
      <c r="D614" s="128">
        <f>SUM(E614:I614)+SUM(K614:M614)</f>
        <v>0</v>
      </c>
      <c r="E614" s="74"/>
      <c r="F614" s="74"/>
      <c r="G614" s="74"/>
      <c r="H614" s="74"/>
      <c r="I614" s="74"/>
      <c r="J614" s="74"/>
      <c r="K614" s="74"/>
      <c r="L614" s="74"/>
      <c r="M614" s="74"/>
      <c r="N614" s="143"/>
      <c r="O614" s="138"/>
      <c r="P614" s="114"/>
    </row>
    <row r="615" spans="2:16" hidden="1" x14ac:dyDescent="0.3">
      <c r="B615" s="82" t="s">
        <v>1130</v>
      </c>
      <c r="C615" s="142" t="s">
        <v>1100</v>
      </c>
      <c r="D615" s="28">
        <f>SUM(E615:I615)+SUM(K615:M615)</f>
        <v>0</v>
      </c>
      <c r="E615" s="53"/>
      <c r="F615" s="53"/>
      <c r="G615" s="53"/>
      <c r="H615" s="53"/>
      <c r="I615" s="53"/>
      <c r="J615" s="53"/>
      <c r="K615" s="53"/>
      <c r="L615" s="53"/>
      <c r="M615" s="53"/>
      <c r="N615" s="31"/>
      <c r="O615" s="83"/>
      <c r="P615" s="114"/>
    </row>
    <row r="616" spans="2:16" hidden="1" x14ac:dyDescent="0.3">
      <c r="B616" s="82" t="s">
        <v>1131</v>
      </c>
      <c r="C616" s="142" t="s">
        <v>1102</v>
      </c>
      <c r="D616" s="28">
        <f>SUM(E616:I616)+SUM(K616:M616)</f>
        <v>0</v>
      </c>
      <c r="E616" s="53"/>
      <c r="F616" s="53"/>
      <c r="G616" s="53"/>
      <c r="H616" s="53"/>
      <c r="I616" s="53"/>
      <c r="J616" s="53"/>
      <c r="K616" s="53"/>
      <c r="L616" s="53"/>
      <c r="M616" s="53"/>
      <c r="N616" s="31"/>
      <c r="O616" s="83"/>
      <c r="P616" s="114"/>
    </row>
    <row r="617" spans="2:16" hidden="1" x14ac:dyDescent="0.3">
      <c r="B617" s="82" t="s">
        <v>1132</v>
      </c>
      <c r="C617" s="142" t="s">
        <v>1104</v>
      </c>
      <c r="D617" s="28">
        <f>SUM(E617:I617)+SUM(K617:M617)</f>
        <v>0</v>
      </c>
      <c r="E617" s="53"/>
      <c r="F617" s="53"/>
      <c r="G617" s="53"/>
      <c r="H617" s="53"/>
      <c r="I617" s="53"/>
      <c r="J617" s="53"/>
      <c r="K617" s="53"/>
      <c r="L617" s="53"/>
      <c r="M617" s="53"/>
      <c r="N617" s="31"/>
      <c r="O617" s="83"/>
      <c r="P617" s="114"/>
    </row>
    <row r="618" spans="2:16" hidden="1" x14ac:dyDescent="0.3">
      <c r="B618" s="82" t="s">
        <v>1133</v>
      </c>
      <c r="C618" s="142" t="s">
        <v>1106</v>
      </c>
      <c r="D618" s="28">
        <f>SUM(E618:I618)+SUM(K618:M618)</f>
        <v>0</v>
      </c>
      <c r="E618" s="53"/>
      <c r="F618" s="53"/>
      <c r="G618" s="53"/>
      <c r="H618" s="53"/>
      <c r="I618" s="53"/>
      <c r="J618" s="53"/>
      <c r="K618" s="53"/>
      <c r="L618" s="53"/>
      <c r="M618" s="53"/>
      <c r="N618" s="31"/>
      <c r="O618" s="83"/>
      <c r="P618" s="114"/>
    </row>
    <row r="619" spans="2:16" hidden="1" x14ac:dyDescent="0.3">
      <c r="B619" s="82" t="s">
        <v>1134</v>
      </c>
      <c r="C619" s="1" t="s">
        <v>1108</v>
      </c>
      <c r="D619" s="28">
        <f t="shared" si="124"/>
        <v>0</v>
      </c>
      <c r="E619" s="29"/>
      <c r="F619" s="29"/>
      <c r="G619" s="29"/>
      <c r="H619" s="29"/>
      <c r="I619" s="29"/>
      <c r="J619" s="29"/>
      <c r="K619" s="53"/>
      <c r="L619" s="53"/>
      <c r="M619" s="53"/>
      <c r="N619" s="31" t="str">
        <f>IF((D619&lt;=D598)*AND(E619&lt;=E598)*AND(F619&lt;=F598)*AND(G619&lt;=G598)*AND(H619&lt;=H598)*AND(I619&lt;=I598)*AND(K619&lt;=K598)*AND(L619&lt;=L598)*AND(M619&lt;=M598)*AND(J619&lt;=J598),"Выполнено","ПРОВЕРИТЬ (эта подстрока не может быть больше 22.2)
)")</f>
        <v>Выполнено</v>
      </c>
      <c r="O619" s="83"/>
      <c r="P619" s="114"/>
    </row>
    <row r="620" spans="2:16" ht="43.2" hidden="1" x14ac:dyDescent="0.3">
      <c r="B620" s="82" t="s">
        <v>1135</v>
      </c>
      <c r="C620" s="1" t="s">
        <v>1136</v>
      </c>
      <c r="D620" s="28">
        <f t="shared" si="124"/>
        <v>0</v>
      </c>
      <c r="E620" s="29"/>
      <c r="F620" s="29"/>
      <c r="G620" s="29"/>
      <c r="H620" s="29"/>
      <c r="I620" s="29"/>
      <c r="J620" s="29"/>
      <c r="K620" s="53"/>
      <c r="L620" s="53"/>
      <c r="M620" s="53"/>
      <c r="N620" s="31" t="str">
        <f>IF((D620&lt;=D$10-D580)*AND(E620&lt;=E$10-E580)*AND(F620&lt;=F$10-F580)*AND(G620&lt;=G$10-G580)*AND(H620&lt;=H$10-H580)*AND(I620&lt;=I$10-I580)*AND(K620&lt;=K$10-K580)*AND(L620&lt;=L$10-L580)*AND(M620&lt;=M$10-M580)*AND(J620&lt;=J$10-J580)*AND(D620&lt;=D$10-D597)*AND(E620&lt;=E$10-E597)*AND(F620&lt;=F$10-F597)*AND(G620&lt;=G$10-G597)*AND(H620&lt;=H$10-H597)*AND(I620&lt;=I$10-I597)*AND(K620&lt;=K$10-K597)*AND(L620&lt;=L$10-L597)*AND(M620&lt;=M$10-M597)*AND(J620&lt;=J$10-J597),"Выполнено","ПРОВЕРИТЬ (таких муниципальных образований не может быть больше разности между общим числом и числом имеющих СМИ муниципалитетов)")</f>
        <v>Выполнено</v>
      </c>
      <c r="O620" s="83"/>
      <c r="P620" s="52"/>
    </row>
    <row r="621" spans="2:16" ht="43.2" x14ac:dyDescent="0.3">
      <c r="B621" s="93" t="s">
        <v>1137</v>
      </c>
      <c r="C621" s="22" t="s">
        <v>1138</v>
      </c>
      <c r="D621" s="23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5"/>
      <c r="P621" s="114"/>
    </row>
    <row r="622" spans="2:16" ht="57.6" x14ac:dyDescent="0.3">
      <c r="B622" s="144" t="s">
        <v>1139</v>
      </c>
      <c r="C622" s="1" t="s">
        <v>1140</v>
      </c>
      <c r="D622" s="28">
        <f t="shared" si="124"/>
        <v>0</v>
      </c>
      <c r="E622" s="53"/>
      <c r="F622" s="53">
        <v>0</v>
      </c>
      <c r="G622" s="53"/>
      <c r="H622" s="53"/>
      <c r="I622" s="53"/>
      <c r="J622" s="53"/>
      <c r="K622" s="53"/>
      <c r="L622" s="53"/>
      <c r="M622" s="53"/>
      <c r="N622" s="31" t="str">
        <f>IF((D622&lt;=D$10)*AND(E622&lt;=E$10)*AND(F622&lt;=F$10)*AND(G622&lt;=G$10)*AND(H622&lt;=H$10)*AND(I622&lt;=I$10)*AND(K622&lt;=K$10)*AND(L622&lt;=L$10)*AND(M622&lt;=M$10)*AND(J622&lt;=J$10),"Выполнено","ПРОВЕРИТЬ (таких муниципальных образований не может быть больше их общего числа)")</f>
        <v>Выполнено</v>
      </c>
      <c r="O622" s="31" t="str">
        <f>IF(((J622=J10)),"   ","Подсказка - у административных центров субъектов Российской Федерации обычно есть свои сайты")</f>
        <v xml:space="preserve">   </v>
      </c>
      <c r="P622" s="114"/>
    </row>
    <row r="623" spans="2:16" x14ac:dyDescent="0.3">
      <c r="B623" s="145" t="s">
        <v>1141</v>
      </c>
      <c r="C623" s="88" t="s">
        <v>1142</v>
      </c>
      <c r="D623" s="35">
        <f t="shared" si="124"/>
        <v>0</v>
      </c>
      <c r="E623" s="146"/>
      <c r="F623" s="146">
        <v>0</v>
      </c>
      <c r="G623" s="146"/>
      <c r="H623" s="146"/>
      <c r="I623" s="146"/>
      <c r="J623" s="146"/>
      <c r="K623" s="146"/>
      <c r="L623" s="146"/>
      <c r="M623" s="146"/>
      <c r="N623" s="133" t="str">
        <f>IF((D623&gt;=D622)*AND(E623&gt;=E622)*AND(F623&gt;=F622)*AND(G623&gt;=G622)*AND(H623&gt;=H622)*AND(I623&gt;=I622)*AND(K623&gt;=K622)*AND(L623&gt;=L622)*AND(M623&gt;=M622)*AND(J623&gt;=J622),"Выполнено","ПРОВЕРИТЬ (эта строка не может быть меньше предыдущей)
)")</f>
        <v>Выполнено</v>
      </c>
      <c r="O623" s="134"/>
      <c r="P623" s="114"/>
    </row>
    <row r="624" spans="2:16" ht="28.8" x14ac:dyDescent="0.3">
      <c r="B624" s="82" t="s">
        <v>1143</v>
      </c>
      <c r="C624" s="1" t="s">
        <v>1144</v>
      </c>
      <c r="D624" s="28">
        <f t="shared" si="124"/>
        <v>0</v>
      </c>
      <c r="E624" s="64">
        <f t="shared" ref="E624:M624" si="131">SUM(E625:E629)</f>
        <v>0</v>
      </c>
      <c r="F624" s="64">
        <f t="shared" si="131"/>
        <v>0</v>
      </c>
      <c r="G624" s="64">
        <f t="shared" si="131"/>
        <v>0</v>
      </c>
      <c r="H624" s="64">
        <f t="shared" si="131"/>
        <v>0</v>
      </c>
      <c r="I624" s="64">
        <f t="shared" si="131"/>
        <v>0</v>
      </c>
      <c r="J624" s="64">
        <f t="shared" si="131"/>
        <v>0</v>
      </c>
      <c r="K624" s="64">
        <f t="shared" si="131"/>
        <v>0</v>
      </c>
      <c r="L624" s="64">
        <f t="shared" si="131"/>
        <v>0</v>
      </c>
      <c r="M624" s="64">
        <f t="shared" si="131"/>
        <v>0</v>
      </c>
      <c r="N624" s="31"/>
      <c r="O624" s="83"/>
      <c r="P624" s="114"/>
    </row>
    <row r="625" spans="2:16" x14ac:dyDescent="0.3">
      <c r="B625" s="82" t="s">
        <v>1145</v>
      </c>
      <c r="C625" s="142" t="s">
        <v>1146</v>
      </c>
      <c r="D625" s="128">
        <f t="shared" si="124"/>
        <v>0</v>
      </c>
      <c r="E625" s="74"/>
      <c r="F625" s="74"/>
      <c r="G625" s="74"/>
      <c r="H625" s="74"/>
      <c r="I625" s="74"/>
      <c r="J625" s="74"/>
      <c r="K625" s="74"/>
      <c r="L625" s="74"/>
      <c r="M625" s="74"/>
      <c r="N625" s="143"/>
      <c r="O625" s="138"/>
      <c r="P625" s="114"/>
    </row>
    <row r="626" spans="2:16" x14ac:dyDescent="0.3">
      <c r="B626" s="82" t="s">
        <v>1147</v>
      </c>
      <c r="C626" s="142" t="s">
        <v>1148</v>
      </c>
      <c r="D626" s="28">
        <f t="shared" si="124"/>
        <v>0</v>
      </c>
      <c r="E626" s="53"/>
      <c r="F626" s="53"/>
      <c r="G626" s="53"/>
      <c r="H626" s="53"/>
      <c r="I626" s="53"/>
      <c r="J626" s="53"/>
      <c r="K626" s="53"/>
      <c r="L626" s="53"/>
      <c r="M626" s="53"/>
      <c r="N626" s="31"/>
      <c r="O626" s="83"/>
      <c r="P626" s="114"/>
    </row>
    <row r="627" spans="2:16" x14ac:dyDescent="0.3">
      <c r="B627" s="82" t="s">
        <v>1149</v>
      </c>
      <c r="C627" s="142" t="s">
        <v>1150</v>
      </c>
      <c r="D627" s="28">
        <f t="shared" si="124"/>
        <v>0</v>
      </c>
      <c r="E627" s="53"/>
      <c r="F627" s="53"/>
      <c r="G627" s="53"/>
      <c r="H627" s="53"/>
      <c r="I627" s="53"/>
      <c r="J627" s="53"/>
      <c r="K627" s="53"/>
      <c r="L627" s="53"/>
      <c r="M627" s="53"/>
      <c r="N627" s="31"/>
      <c r="O627" s="83"/>
      <c r="P627" s="114"/>
    </row>
    <row r="628" spans="2:16" x14ac:dyDescent="0.3">
      <c r="B628" s="82" t="s">
        <v>1151</v>
      </c>
      <c r="C628" s="142" t="s">
        <v>1152</v>
      </c>
      <c r="D628" s="28">
        <f t="shared" si="124"/>
        <v>0</v>
      </c>
      <c r="E628" s="53"/>
      <c r="F628" s="53"/>
      <c r="G628" s="53"/>
      <c r="H628" s="53"/>
      <c r="I628" s="53"/>
      <c r="J628" s="53"/>
      <c r="K628" s="53"/>
      <c r="L628" s="53"/>
      <c r="M628" s="53"/>
      <c r="N628" s="31"/>
      <c r="O628" s="83"/>
      <c r="P628" s="114"/>
    </row>
    <row r="629" spans="2:16" x14ac:dyDescent="0.3">
      <c r="B629" s="82" t="s">
        <v>1153</v>
      </c>
      <c r="C629" s="142" t="s">
        <v>1154</v>
      </c>
      <c r="D629" s="28">
        <f t="shared" si="124"/>
        <v>0</v>
      </c>
      <c r="E629" s="53"/>
      <c r="F629" s="53"/>
      <c r="G629" s="53"/>
      <c r="H629" s="53"/>
      <c r="I629" s="53"/>
      <c r="J629" s="53"/>
      <c r="K629" s="53"/>
      <c r="L629" s="53"/>
      <c r="M629" s="53"/>
      <c r="N629" s="31"/>
      <c r="O629" s="83"/>
      <c r="P629" s="114"/>
    </row>
    <row r="630" spans="2:16" ht="28.8" x14ac:dyDescent="0.3">
      <c r="B630" s="147" t="s">
        <v>1155</v>
      </c>
      <c r="C630" s="148" t="s">
        <v>1156</v>
      </c>
      <c r="D630" s="57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58"/>
      <c r="P630" s="52"/>
    </row>
    <row r="631" spans="2:16" ht="72" x14ac:dyDescent="0.3">
      <c r="B631" s="21" t="s">
        <v>1157</v>
      </c>
      <c r="C631" s="1" t="s">
        <v>1158</v>
      </c>
      <c r="D631" s="23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5"/>
      <c r="P631" s="52"/>
    </row>
    <row r="632" spans="2:16" x14ac:dyDescent="0.3">
      <c r="B632" s="21" t="s">
        <v>1159</v>
      </c>
      <c r="C632" s="1" t="s">
        <v>1160</v>
      </c>
      <c r="D632" s="28">
        <f t="shared" ref="D632:D634" si="132">SUM(E632:I632)+SUM(K632:M632)</f>
        <v>0</v>
      </c>
      <c r="E632" s="53"/>
      <c r="F632" s="53">
        <v>0</v>
      </c>
      <c r="G632" s="53"/>
      <c r="H632" s="53"/>
      <c r="I632" s="53"/>
      <c r="J632" s="53"/>
      <c r="K632" s="53"/>
      <c r="L632" s="53"/>
      <c r="M632" s="53"/>
      <c r="N632" s="31" t="str">
        <f>IF((D632&lt;=D$10)*AND(E632&lt;=E$10)*AND(F632&lt;=F$10)*AND(G632&lt;=G$10)*AND(H632&lt;=H$10)*AND(I632&lt;=I$10)*AND(K632&lt;=K$10)*AND(L632&lt;=L$10)*AND(M632&lt;=M$10)*AND(J632&lt;=J$10),"Выполнено","ПРОВЕРИТЬ (таких муниципальных образований не может быть больше их общего числа)")</f>
        <v>Выполнено</v>
      </c>
      <c r="O632" s="83"/>
      <c r="P632" s="52"/>
    </row>
    <row r="633" spans="2:16" ht="43.2" x14ac:dyDescent="0.3">
      <c r="B633" s="21" t="s">
        <v>1161</v>
      </c>
      <c r="C633" s="1" t="s">
        <v>1162</v>
      </c>
      <c r="D633" s="28">
        <f t="shared" si="132"/>
        <v>0</v>
      </c>
      <c r="E633" s="29"/>
      <c r="F633" s="29">
        <v>0</v>
      </c>
      <c r="G633" s="29"/>
      <c r="H633" s="29"/>
      <c r="I633" s="29"/>
      <c r="J633" s="29"/>
      <c r="K633" s="53"/>
      <c r="L633" s="53"/>
      <c r="M633" s="53"/>
      <c r="N633" s="31" t="str">
        <f>IF((D633&lt;=D$10)*AND(E633&lt;=E$10)*AND(F633&lt;=F$10)*AND(G633&lt;=G$10)*AND(H633&lt;=H$10)*AND(I633&lt;=I$10)*AND(K633&lt;=K$10)*AND(L633&lt;=L$10)*AND(M633&lt;=M$10)*AND(J633&lt;=J$10),"Выполнено","ПРОВЕРИТЬ (таких муниципальных образований не может быть больше их общего числа)")</f>
        <v>Выполнено</v>
      </c>
      <c r="O633" s="83"/>
      <c r="P633" s="52"/>
    </row>
    <row r="634" spans="2:16" ht="43.2" x14ac:dyDescent="0.3">
      <c r="B634" s="21" t="s">
        <v>1163</v>
      </c>
      <c r="C634" s="1" t="s">
        <v>1164</v>
      </c>
      <c r="D634" s="28">
        <f t="shared" si="132"/>
        <v>0</v>
      </c>
      <c r="E634" s="29"/>
      <c r="F634" s="29">
        <v>0</v>
      </c>
      <c r="G634" s="29"/>
      <c r="H634" s="29"/>
      <c r="I634" s="29"/>
      <c r="J634" s="29"/>
      <c r="K634" s="53"/>
      <c r="L634" s="53"/>
      <c r="M634" s="53"/>
      <c r="N634" s="31" t="str">
        <f>IF((D634&lt;=D633)*AND(E634&lt;=E633)*AND(F634&lt;=F633)*AND(G634&lt;=G633)*AND(H634&lt;=H633)*AND(I634&lt;=I633)*AND(K634&lt;=K633)*AND(L634&lt;=L633)*AND(M634&lt;=M633)*AND(J634&lt;=J633),"Выполнено","ПРОВЕРИТЬ (значения этой строки не могут быть больше предыдущей)
)")</f>
        <v>Выполнено</v>
      </c>
      <c r="O634" s="83"/>
      <c r="P634" s="52"/>
    </row>
    <row r="635" spans="2:16" ht="43.2" x14ac:dyDescent="0.3">
      <c r="B635" s="21" t="s">
        <v>1165</v>
      </c>
      <c r="C635" s="1" t="s">
        <v>1166</v>
      </c>
      <c r="D635" s="23"/>
      <c r="E635" s="24"/>
      <c r="F635" s="24">
        <v>0</v>
      </c>
      <c r="G635" s="24"/>
      <c r="H635" s="24"/>
      <c r="I635" s="24"/>
      <c r="J635" s="24"/>
      <c r="K635" s="24"/>
      <c r="L635" s="24"/>
      <c r="M635" s="24"/>
      <c r="N635" s="24"/>
      <c r="O635" s="25"/>
      <c r="P635" s="52"/>
    </row>
    <row r="636" spans="2:16" x14ac:dyDescent="0.3">
      <c r="B636" s="21" t="s">
        <v>1167</v>
      </c>
      <c r="C636" s="1" t="s">
        <v>1168</v>
      </c>
      <c r="D636" s="28">
        <f t="shared" ref="D636:D679" si="133">SUM(E636:I636)+SUM(K636:M636)</f>
        <v>0</v>
      </c>
      <c r="E636" s="29"/>
      <c r="F636" s="29">
        <v>0</v>
      </c>
      <c r="G636" s="29"/>
      <c r="H636" s="29"/>
      <c r="I636" s="29"/>
      <c r="J636" s="29"/>
      <c r="K636" s="53"/>
      <c r="L636" s="53"/>
      <c r="M636" s="53"/>
      <c r="N636" s="31" t="str">
        <f>IF((D636&lt;=D$10)*AND(E636&lt;=E$10)*AND(F636&lt;=F$10)*AND(G636&lt;=G$10)*AND(H636&lt;=H$10)*AND(I636&lt;=I$10)*AND(K636&lt;=K$10)*AND(L636&lt;=L$10)*AND(M636&lt;=M$10)*AND(J636&lt;=J$10),"Выполнено","ПРОВЕРИТЬ (таких муниципальных образований не может быть больше их общего числа)")</f>
        <v>Выполнено</v>
      </c>
      <c r="O636" s="83"/>
      <c r="P636" s="52"/>
    </row>
    <row r="637" spans="2:16" ht="43.2" x14ac:dyDescent="0.3">
      <c r="B637" s="21" t="s">
        <v>1169</v>
      </c>
      <c r="C637" s="1" t="s">
        <v>1170</v>
      </c>
      <c r="D637" s="28">
        <f t="shared" si="133"/>
        <v>0</v>
      </c>
      <c r="E637" s="29"/>
      <c r="F637" s="29">
        <v>0</v>
      </c>
      <c r="G637" s="29"/>
      <c r="H637" s="29"/>
      <c r="I637" s="29"/>
      <c r="J637" s="29"/>
      <c r="K637" s="53"/>
      <c r="L637" s="53"/>
      <c r="M637" s="53"/>
      <c r="N637" s="31" t="str">
        <f>IF((D637&lt;=D$10)*AND(E637&lt;=E$10)*AND(F637&lt;=F$10)*AND(G637&lt;=G$10)*AND(H637&lt;=H$10)*AND(I637&lt;=I$10)*AND(K637&lt;=K$10)*AND(L637&lt;=L$10)*AND(M637&lt;=M$10)*AND(J637&lt;=J$10),"Выполнено","ПРОВЕРИТЬ (таких муниципальных образований не может быть больше их общего числа)")</f>
        <v>Выполнено</v>
      </c>
      <c r="O637" s="83"/>
      <c r="P637" s="52"/>
    </row>
    <row r="638" spans="2:16" ht="43.2" x14ac:dyDescent="0.3">
      <c r="B638" s="21" t="s">
        <v>1171</v>
      </c>
      <c r="C638" s="1" t="s">
        <v>1172</v>
      </c>
      <c r="D638" s="28">
        <f t="shared" si="133"/>
        <v>0</v>
      </c>
      <c r="E638" s="29"/>
      <c r="F638" s="29">
        <v>0</v>
      </c>
      <c r="G638" s="29"/>
      <c r="H638" s="29"/>
      <c r="I638" s="29"/>
      <c r="J638" s="29"/>
      <c r="K638" s="53"/>
      <c r="L638" s="53"/>
      <c r="M638" s="53"/>
      <c r="N638" s="31" t="str">
        <f>IF((D638&lt;=D637)*AND(E638&lt;=E637)*AND(F638&lt;=F637)*AND(G638&lt;=G637)*AND(H638&lt;=H637)*AND(I638&lt;=I637)*AND(K638&lt;=K637)*AND(L638&lt;=L637)*AND(M638&lt;=M637)*AND(J638&lt;=J637),"Выполнено","ПРОВЕРИТЬ (значения этой строки не могут быть больше предыдущей)
)")</f>
        <v>Выполнено</v>
      </c>
      <c r="O638" s="83"/>
      <c r="P638" s="52"/>
    </row>
    <row r="639" spans="2:16" ht="43.2" x14ac:dyDescent="0.3">
      <c r="B639" s="21" t="s">
        <v>1173</v>
      </c>
      <c r="C639" s="1" t="s">
        <v>1174</v>
      </c>
      <c r="D639" s="28">
        <f t="shared" si="133"/>
        <v>0</v>
      </c>
      <c r="E639" s="29"/>
      <c r="F639" s="29">
        <v>0</v>
      </c>
      <c r="G639" s="29"/>
      <c r="H639" s="29"/>
      <c r="I639" s="29"/>
      <c r="J639" s="29"/>
      <c r="K639" s="53"/>
      <c r="L639" s="53"/>
      <c r="M639" s="53"/>
      <c r="N639" s="31" t="str">
        <f>IF((D639&lt;=D$10-D633)*AND(E639&lt;=E$10-E633)*AND(F639&lt;=F$10-F633)*AND(G639&lt;=G$10-G633)*AND(H639&lt;=H$10-H633)*AND(I639&lt;=I$10-I633)*AND(K639&lt;=K$10-K633)*AND(L639&lt;=L$10-L633)*AND(M639&lt;=M$10-M633)*AND(J639&lt;=J$10-J633),"Выполнено","ПРОВЕРИТЬ (таких муниципальных образований не может быть больше разности между общим числом муниципалитетов и числом муниципалитетов с учреждениями)")</f>
        <v>Выполнено</v>
      </c>
      <c r="O639" s="83"/>
      <c r="P639" s="52"/>
    </row>
    <row r="640" spans="2:16" ht="28.8" x14ac:dyDescent="0.3">
      <c r="B640" s="21" t="s">
        <v>1175</v>
      </c>
      <c r="C640" s="1" t="s">
        <v>1176</v>
      </c>
      <c r="D640" s="28">
        <f t="shared" si="133"/>
        <v>0</v>
      </c>
      <c r="E640" s="29"/>
      <c r="F640" s="29">
        <v>0</v>
      </c>
      <c r="G640" s="29"/>
      <c r="H640" s="29"/>
      <c r="I640" s="29"/>
      <c r="J640" s="29"/>
      <c r="K640" s="53"/>
      <c r="L640" s="53"/>
      <c r="M640" s="53"/>
      <c r="N640" s="31" t="str">
        <f>IF((D640&gt;=D632)*AND(E640&gt;=E632)*AND(F640&gt;=F632)*AND(G640&gt;=G632)*AND(H640&gt;=H632)*AND(I640&gt;=I632)*AND(K640&gt;=K632)*AND(L640&gt;=L632)*AND(M640&gt;=M632)*AND(J640&gt;=J632),"Выполнено","ПРОВЕРИТЬ (самих МУПов не может быть меньше чем муниципалитетов - учредителей МУПов)
)")</f>
        <v>Выполнено</v>
      </c>
      <c r="O640" s="83"/>
      <c r="P640" s="52"/>
    </row>
    <row r="641" spans="2:16" x14ac:dyDescent="0.3">
      <c r="B641" s="21" t="s">
        <v>1177</v>
      </c>
      <c r="C641" s="1" t="s">
        <v>1178</v>
      </c>
      <c r="D641" s="28">
        <f t="shared" si="133"/>
        <v>0</v>
      </c>
      <c r="E641" s="29"/>
      <c r="F641" s="29">
        <v>0</v>
      </c>
      <c r="G641" s="29"/>
      <c r="H641" s="29"/>
      <c r="I641" s="29"/>
      <c r="J641" s="29"/>
      <c r="K641" s="29"/>
      <c r="L641" s="29"/>
      <c r="M641" s="29"/>
      <c r="N641" s="30"/>
      <c r="O641" s="83"/>
      <c r="P641" s="114"/>
    </row>
    <row r="642" spans="2:16" x14ac:dyDescent="0.3">
      <c r="B642" s="21" t="s">
        <v>1179</v>
      </c>
      <c r="C642" s="1" t="s">
        <v>1180</v>
      </c>
      <c r="D642" s="28">
        <f>SUM(E642:I642)+SUM(K642:M642)</f>
        <v>0</v>
      </c>
      <c r="E642" s="29"/>
      <c r="F642" s="29">
        <v>0</v>
      </c>
      <c r="G642" s="29"/>
      <c r="H642" s="29"/>
      <c r="I642" s="29"/>
      <c r="J642" s="29"/>
      <c r="K642" s="29"/>
      <c r="L642" s="29"/>
      <c r="M642" s="29"/>
      <c r="N642" s="30"/>
      <c r="O642" s="83"/>
      <c r="P642" s="114"/>
    </row>
    <row r="643" spans="2:16" x14ac:dyDescent="0.3">
      <c r="B643" s="21" t="s">
        <v>1181</v>
      </c>
      <c r="C643" s="1" t="s">
        <v>1182</v>
      </c>
      <c r="D643" s="28">
        <f>SUM(E643:I643)+SUM(K643:M643)</f>
        <v>0</v>
      </c>
      <c r="E643" s="29"/>
      <c r="F643" s="29">
        <v>0</v>
      </c>
      <c r="G643" s="29"/>
      <c r="H643" s="29"/>
      <c r="I643" s="29"/>
      <c r="J643" s="29"/>
      <c r="K643" s="29"/>
      <c r="L643" s="29"/>
      <c r="M643" s="29"/>
      <c r="N643" s="30"/>
      <c r="O643" s="83"/>
      <c r="P643" s="114"/>
    </row>
    <row r="644" spans="2:16" ht="43.2" x14ac:dyDescent="0.3">
      <c r="B644" s="21" t="s">
        <v>1183</v>
      </c>
      <c r="C644" s="1" t="s">
        <v>1184</v>
      </c>
      <c r="D644" s="28">
        <f t="shared" ref="D644:D648" si="134">SUM(E644:I644)+SUM(K644:M644)</f>
        <v>0</v>
      </c>
      <c r="E644" s="29"/>
      <c r="F644" s="29">
        <v>0</v>
      </c>
      <c r="G644" s="29"/>
      <c r="H644" s="29"/>
      <c r="I644" s="29"/>
      <c r="J644" s="29"/>
      <c r="K644" s="29"/>
      <c r="L644" s="29"/>
      <c r="M644" s="29"/>
      <c r="N644" s="30"/>
      <c r="O644" s="83"/>
      <c r="P644" s="114"/>
    </row>
    <row r="645" spans="2:16" ht="43.2" x14ac:dyDescent="0.3">
      <c r="B645" s="21" t="s">
        <v>1185</v>
      </c>
      <c r="C645" s="1" t="s">
        <v>1186</v>
      </c>
      <c r="D645" s="28">
        <f t="shared" si="134"/>
        <v>0</v>
      </c>
      <c r="E645" s="29"/>
      <c r="F645" s="29">
        <v>0</v>
      </c>
      <c r="G645" s="29"/>
      <c r="H645" s="29"/>
      <c r="I645" s="29"/>
      <c r="J645" s="29"/>
      <c r="K645" s="29"/>
      <c r="L645" s="29"/>
      <c r="M645" s="29"/>
      <c r="N645" s="30"/>
      <c r="O645" s="83"/>
      <c r="P645" s="114"/>
    </row>
    <row r="646" spans="2:16" x14ac:dyDescent="0.3">
      <c r="B646" s="21" t="s">
        <v>1187</v>
      </c>
      <c r="C646" s="1" t="s">
        <v>1188</v>
      </c>
      <c r="D646" s="28">
        <f t="shared" si="134"/>
        <v>0</v>
      </c>
      <c r="E646" s="29"/>
      <c r="F646" s="29">
        <v>0</v>
      </c>
      <c r="G646" s="29"/>
      <c r="H646" s="29"/>
      <c r="I646" s="29"/>
      <c r="J646" s="29"/>
      <c r="K646" s="29"/>
      <c r="L646" s="29"/>
      <c r="M646" s="29"/>
      <c r="N646" s="30"/>
      <c r="O646" s="83"/>
      <c r="P646" s="114"/>
    </row>
    <row r="647" spans="2:16" x14ac:dyDescent="0.3">
      <c r="B647" s="21" t="s">
        <v>1189</v>
      </c>
      <c r="C647" s="1" t="s">
        <v>1190</v>
      </c>
      <c r="D647" s="28">
        <f t="shared" si="134"/>
        <v>0</v>
      </c>
      <c r="E647" s="29"/>
      <c r="F647" s="29">
        <v>0</v>
      </c>
      <c r="G647" s="29"/>
      <c r="H647" s="29"/>
      <c r="I647" s="29"/>
      <c r="J647" s="29"/>
      <c r="K647" s="29"/>
      <c r="L647" s="29"/>
      <c r="M647" s="29"/>
      <c r="N647" s="30"/>
      <c r="O647" s="83"/>
      <c r="P647" s="114"/>
    </row>
    <row r="648" spans="2:16" x14ac:dyDescent="0.3">
      <c r="B648" s="21" t="s">
        <v>1191</v>
      </c>
      <c r="C648" s="1" t="s">
        <v>1192</v>
      </c>
      <c r="D648" s="28">
        <f t="shared" si="134"/>
        <v>0</v>
      </c>
      <c r="E648" s="29"/>
      <c r="F648" s="29">
        <v>0</v>
      </c>
      <c r="G648" s="29"/>
      <c r="H648" s="29"/>
      <c r="I648" s="29"/>
      <c r="J648" s="29"/>
      <c r="K648" s="29"/>
      <c r="L648" s="29"/>
      <c r="M648" s="29"/>
      <c r="N648" s="30"/>
      <c r="O648" s="83"/>
      <c r="P648" s="114"/>
    </row>
    <row r="649" spans="2:16" x14ac:dyDescent="0.3">
      <c r="B649" s="21" t="s">
        <v>1193</v>
      </c>
      <c r="C649" s="1" t="s">
        <v>1194</v>
      </c>
      <c r="D649" s="28">
        <f>SUM(E649:I649)+SUM(K649:M649)</f>
        <v>0</v>
      </c>
      <c r="E649" s="64">
        <f>E640-E641-E642-E643-E644-E645-E646-E647-E648</f>
        <v>0</v>
      </c>
      <c r="F649" s="64">
        <f t="shared" ref="F649:M649" si="135">F640-F641-F642-F643-F644-F645-F646-F647-F648</f>
        <v>0</v>
      </c>
      <c r="G649" s="64">
        <f t="shared" si="135"/>
        <v>0</v>
      </c>
      <c r="H649" s="64">
        <f t="shared" si="135"/>
        <v>0</v>
      </c>
      <c r="I649" s="64">
        <f t="shared" si="135"/>
        <v>0</v>
      </c>
      <c r="J649" s="64">
        <f t="shared" si="135"/>
        <v>0</v>
      </c>
      <c r="K649" s="64">
        <f t="shared" si="135"/>
        <v>0</v>
      </c>
      <c r="L649" s="64">
        <f t="shared" si="135"/>
        <v>0</v>
      </c>
      <c r="M649" s="64">
        <f t="shared" si="135"/>
        <v>0</v>
      </c>
      <c r="N649" s="30"/>
      <c r="O649" s="83"/>
      <c r="P649" s="114"/>
    </row>
    <row r="650" spans="2:16" ht="28.8" x14ac:dyDescent="0.3">
      <c r="B650" s="21" t="s">
        <v>1195</v>
      </c>
      <c r="C650" s="1" t="s">
        <v>1196</v>
      </c>
      <c r="D650" s="28">
        <f t="shared" si="133"/>
        <v>0</v>
      </c>
      <c r="E650" s="29"/>
      <c r="F650" s="29">
        <v>0</v>
      </c>
      <c r="G650" s="29"/>
      <c r="H650" s="29"/>
      <c r="I650" s="29"/>
      <c r="J650" s="29"/>
      <c r="K650" s="53"/>
      <c r="L650" s="53"/>
      <c r="M650" s="53"/>
      <c r="N650" s="30"/>
      <c r="O650" s="83"/>
      <c r="P650" s="52"/>
    </row>
    <row r="651" spans="2:16" x14ac:dyDescent="0.3">
      <c r="B651" s="21" t="s">
        <v>1197</v>
      </c>
      <c r="C651" s="1" t="s">
        <v>1178</v>
      </c>
      <c r="D651" s="28">
        <f t="shared" si="133"/>
        <v>0</v>
      </c>
      <c r="E651" s="29"/>
      <c r="F651" s="29">
        <v>0</v>
      </c>
      <c r="G651" s="29"/>
      <c r="H651" s="29"/>
      <c r="I651" s="29"/>
      <c r="J651" s="29"/>
      <c r="K651" s="29"/>
      <c r="L651" s="29"/>
      <c r="M651" s="29"/>
      <c r="N651" s="30"/>
      <c r="O651" s="83"/>
      <c r="P651" s="114"/>
    </row>
    <row r="652" spans="2:16" x14ac:dyDescent="0.3">
      <c r="B652" s="21" t="s">
        <v>1198</v>
      </c>
      <c r="C652" s="1" t="s">
        <v>1180</v>
      </c>
      <c r="D652" s="28">
        <f>SUM(E652:I652)+SUM(K652:M652)</f>
        <v>0</v>
      </c>
      <c r="E652" s="29"/>
      <c r="F652" s="29">
        <v>0</v>
      </c>
      <c r="G652" s="29"/>
      <c r="H652" s="29"/>
      <c r="I652" s="29"/>
      <c r="J652" s="29"/>
      <c r="K652" s="29"/>
      <c r="L652" s="29"/>
      <c r="M652" s="29"/>
      <c r="N652" s="30"/>
      <c r="O652" s="83"/>
      <c r="P652" s="114"/>
    </row>
    <row r="653" spans="2:16" x14ac:dyDescent="0.3">
      <c r="B653" s="21" t="s">
        <v>1199</v>
      </c>
      <c r="C653" s="1" t="s">
        <v>1182</v>
      </c>
      <c r="D653" s="28">
        <f>SUM(E653:I653)+SUM(K653:M653)</f>
        <v>0</v>
      </c>
      <c r="E653" s="29"/>
      <c r="F653" s="29">
        <v>0</v>
      </c>
      <c r="G653" s="29"/>
      <c r="H653" s="29"/>
      <c r="I653" s="29"/>
      <c r="J653" s="29"/>
      <c r="K653" s="29"/>
      <c r="L653" s="29"/>
      <c r="M653" s="29"/>
      <c r="N653" s="30"/>
      <c r="O653" s="83"/>
      <c r="P653" s="114"/>
    </row>
    <row r="654" spans="2:16" ht="43.2" x14ac:dyDescent="0.3">
      <c r="B654" s="21" t="s">
        <v>1200</v>
      </c>
      <c r="C654" s="1" t="s">
        <v>1184</v>
      </c>
      <c r="D654" s="28">
        <f t="shared" ref="D654:D658" si="136">SUM(E654:I654)+SUM(K654:M654)</f>
        <v>0</v>
      </c>
      <c r="E654" s="29"/>
      <c r="F654" s="29">
        <v>0</v>
      </c>
      <c r="G654" s="29"/>
      <c r="H654" s="29"/>
      <c r="I654" s="29"/>
      <c r="J654" s="29"/>
      <c r="K654" s="29"/>
      <c r="L654" s="29"/>
      <c r="M654" s="29"/>
      <c r="N654" s="30"/>
      <c r="O654" s="83"/>
      <c r="P654" s="114"/>
    </row>
    <row r="655" spans="2:16" ht="43.2" x14ac:dyDescent="0.3">
      <c r="B655" s="21" t="s">
        <v>1201</v>
      </c>
      <c r="C655" s="1" t="s">
        <v>1186</v>
      </c>
      <c r="D655" s="28">
        <f t="shared" si="136"/>
        <v>0</v>
      </c>
      <c r="E655" s="29"/>
      <c r="F655" s="29">
        <v>0</v>
      </c>
      <c r="G655" s="29"/>
      <c r="H655" s="29"/>
      <c r="I655" s="29"/>
      <c r="J655" s="29"/>
      <c r="K655" s="29"/>
      <c r="L655" s="29"/>
      <c r="M655" s="29"/>
      <c r="N655" s="30"/>
      <c r="O655" s="83"/>
      <c r="P655" s="114"/>
    </row>
    <row r="656" spans="2:16" x14ac:dyDescent="0.3">
      <c r="B656" s="21" t="s">
        <v>1202</v>
      </c>
      <c r="C656" s="1" t="s">
        <v>1188</v>
      </c>
      <c r="D656" s="28">
        <f t="shared" si="136"/>
        <v>0</v>
      </c>
      <c r="E656" s="29"/>
      <c r="F656" s="29">
        <v>0</v>
      </c>
      <c r="G656" s="29"/>
      <c r="H656" s="29"/>
      <c r="I656" s="29"/>
      <c r="J656" s="29"/>
      <c r="K656" s="29"/>
      <c r="L656" s="29"/>
      <c r="M656" s="29"/>
      <c r="N656" s="30"/>
      <c r="O656" s="83"/>
      <c r="P656" s="114"/>
    </row>
    <row r="657" spans="2:16" x14ac:dyDescent="0.3">
      <c r="B657" s="21" t="s">
        <v>1203</v>
      </c>
      <c r="C657" s="1" t="s">
        <v>1190</v>
      </c>
      <c r="D657" s="28">
        <f t="shared" si="136"/>
        <v>0</v>
      </c>
      <c r="E657" s="29"/>
      <c r="F657" s="29">
        <v>0</v>
      </c>
      <c r="G657" s="29"/>
      <c r="H657" s="29"/>
      <c r="I657" s="29"/>
      <c r="J657" s="29"/>
      <c r="K657" s="29"/>
      <c r="L657" s="29"/>
      <c r="M657" s="29"/>
      <c r="N657" s="30"/>
      <c r="O657" s="83"/>
      <c r="P657" s="114"/>
    </row>
    <row r="658" spans="2:16" x14ac:dyDescent="0.3">
      <c r="B658" s="21" t="s">
        <v>1204</v>
      </c>
      <c r="C658" s="1" t="s">
        <v>1192</v>
      </c>
      <c r="D658" s="28">
        <f t="shared" si="136"/>
        <v>0</v>
      </c>
      <c r="E658" s="29"/>
      <c r="F658" s="29">
        <v>0</v>
      </c>
      <c r="G658" s="29"/>
      <c r="H658" s="29"/>
      <c r="I658" s="29"/>
      <c r="J658" s="29"/>
      <c r="K658" s="29"/>
      <c r="L658" s="29"/>
      <c r="M658" s="29"/>
      <c r="N658" s="30"/>
      <c r="O658" s="83"/>
      <c r="P658" s="114"/>
    </row>
    <row r="659" spans="2:16" x14ac:dyDescent="0.3">
      <c r="B659" s="21" t="s">
        <v>1205</v>
      </c>
      <c r="C659" s="1" t="s">
        <v>1194</v>
      </c>
      <c r="D659" s="28">
        <f>SUM(E659:I659)+SUM(K659:M659)</f>
        <v>0</v>
      </c>
      <c r="E659" s="64">
        <f t="shared" ref="E659:M659" si="137">E650-E651-E652-E653-E654-E655-E656-E657-E658</f>
        <v>0</v>
      </c>
      <c r="F659" s="64">
        <f t="shared" si="137"/>
        <v>0</v>
      </c>
      <c r="G659" s="64">
        <f t="shared" si="137"/>
        <v>0</v>
      </c>
      <c r="H659" s="64">
        <f t="shared" si="137"/>
        <v>0</v>
      </c>
      <c r="I659" s="64">
        <f t="shared" si="137"/>
        <v>0</v>
      </c>
      <c r="J659" s="64">
        <f t="shared" si="137"/>
        <v>0</v>
      </c>
      <c r="K659" s="64">
        <f t="shared" si="137"/>
        <v>0</v>
      </c>
      <c r="L659" s="64">
        <f t="shared" si="137"/>
        <v>0</v>
      </c>
      <c r="M659" s="64">
        <f t="shared" si="137"/>
        <v>0</v>
      </c>
      <c r="N659" s="30"/>
      <c r="O659" s="83"/>
      <c r="P659" s="114"/>
    </row>
    <row r="660" spans="2:16" x14ac:dyDescent="0.3">
      <c r="B660" s="21" t="s">
        <v>1206</v>
      </c>
      <c r="C660" s="1" t="s">
        <v>1207</v>
      </c>
      <c r="D660" s="28">
        <f t="shared" si="133"/>
        <v>0</v>
      </c>
      <c r="E660" s="29"/>
      <c r="F660" s="29">
        <v>0</v>
      </c>
      <c r="G660" s="29"/>
      <c r="H660" s="29"/>
      <c r="I660" s="29"/>
      <c r="J660" s="29"/>
      <c r="K660" s="53"/>
      <c r="L660" s="53"/>
      <c r="M660" s="53"/>
      <c r="N660" s="30"/>
      <c r="O660" s="83"/>
      <c r="P660" s="52"/>
    </row>
    <row r="661" spans="2:16" x14ac:dyDescent="0.3">
      <c r="B661" s="21" t="s">
        <v>1208</v>
      </c>
      <c r="C661" s="1" t="s">
        <v>1178</v>
      </c>
      <c r="D661" s="28">
        <f t="shared" si="133"/>
        <v>0</v>
      </c>
      <c r="E661" s="29"/>
      <c r="F661" s="29">
        <v>0</v>
      </c>
      <c r="G661" s="29"/>
      <c r="H661" s="29"/>
      <c r="I661" s="29"/>
      <c r="J661" s="29"/>
      <c r="K661" s="29"/>
      <c r="L661" s="29"/>
      <c r="M661" s="29"/>
      <c r="N661" s="30"/>
      <c r="O661" s="83"/>
      <c r="P661" s="114"/>
    </row>
    <row r="662" spans="2:16" x14ac:dyDescent="0.3">
      <c r="B662" s="21" t="s">
        <v>1209</v>
      </c>
      <c r="C662" s="1" t="s">
        <v>1180</v>
      </c>
      <c r="D662" s="28">
        <f>SUM(E662:I662)+SUM(K662:M662)</f>
        <v>0</v>
      </c>
      <c r="E662" s="29"/>
      <c r="F662" s="29">
        <v>0</v>
      </c>
      <c r="G662" s="29"/>
      <c r="H662" s="29"/>
      <c r="I662" s="29"/>
      <c r="J662" s="29"/>
      <c r="K662" s="29"/>
      <c r="L662" s="29"/>
      <c r="M662" s="29"/>
      <c r="N662" s="30"/>
      <c r="O662" s="83"/>
      <c r="P662" s="114"/>
    </row>
    <row r="663" spans="2:16" x14ac:dyDescent="0.3">
      <c r="B663" s="21" t="s">
        <v>1210</v>
      </c>
      <c r="C663" s="1" t="s">
        <v>1182</v>
      </c>
      <c r="D663" s="28">
        <f>SUM(E663:I663)+SUM(K663:M663)</f>
        <v>0</v>
      </c>
      <c r="E663" s="29"/>
      <c r="F663" s="29">
        <v>0</v>
      </c>
      <c r="G663" s="29"/>
      <c r="H663" s="29"/>
      <c r="I663" s="29"/>
      <c r="J663" s="29"/>
      <c r="K663" s="29"/>
      <c r="L663" s="29"/>
      <c r="M663" s="29"/>
      <c r="N663" s="30"/>
      <c r="O663" s="83"/>
      <c r="P663" s="114"/>
    </row>
    <row r="664" spans="2:16" ht="43.2" x14ac:dyDescent="0.3">
      <c r="B664" s="21" t="s">
        <v>1211</v>
      </c>
      <c r="C664" s="1" t="s">
        <v>1184</v>
      </c>
      <c r="D664" s="28">
        <f t="shared" ref="D664:D668" si="138">SUM(E664:I664)+SUM(K664:M664)</f>
        <v>0</v>
      </c>
      <c r="E664" s="29"/>
      <c r="F664" s="29">
        <v>0</v>
      </c>
      <c r="G664" s="29"/>
      <c r="H664" s="29"/>
      <c r="I664" s="29"/>
      <c r="J664" s="29"/>
      <c r="K664" s="29"/>
      <c r="L664" s="29"/>
      <c r="M664" s="29"/>
      <c r="N664" s="30"/>
      <c r="O664" s="83"/>
      <c r="P664" s="114"/>
    </row>
    <row r="665" spans="2:16" ht="43.2" x14ac:dyDescent="0.3">
      <c r="B665" s="21" t="s">
        <v>1212</v>
      </c>
      <c r="C665" s="1" t="s">
        <v>1186</v>
      </c>
      <c r="D665" s="28">
        <f t="shared" si="138"/>
        <v>0</v>
      </c>
      <c r="E665" s="29"/>
      <c r="F665" s="29">
        <v>0</v>
      </c>
      <c r="G665" s="29"/>
      <c r="H665" s="29"/>
      <c r="I665" s="29"/>
      <c r="J665" s="29"/>
      <c r="K665" s="29"/>
      <c r="L665" s="29"/>
      <c r="M665" s="29"/>
      <c r="N665" s="30"/>
      <c r="O665" s="83"/>
      <c r="P665" s="114"/>
    </row>
    <row r="666" spans="2:16" x14ac:dyDescent="0.3">
      <c r="B666" s="21" t="s">
        <v>1213</v>
      </c>
      <c r="C666" s="1" t="s">
        <v>1188</v>
      </c>
      <c r="D666" s="28">
        <f t="shared" si="138"/>
        <v>0</v>
      </c>
      <c r="E666" s="29"/>
      <c r="F666" s="29">
        <v>0</v>
      </c>
      <c r="G666" s="29"/>
      <c r="H666" s="29"/>
      <c r="I666" s="29"/>
      <c r="J666" s="29"/>
      <c r="K666" s="29"/>
      <c r="L666" s="29"/>
      <c r="M666" s="29"/>
      <c r="N666" s="30"/>
      <c r="O666" s="83"/>
      <c r="P666" s="114"/>
    </row>
    <row r="667" spans="2:16" x14ac:dyDescent="0.3">
      <c r="B667" s="21" t="s">
        <v>1214</v>
      </c>
      <c r="C667" s="1" t="s">
        <v>1190</v>
      </c>
      <c r="D667" s="28">
        <f t="shared" si="138"/>
        <v>0</v>
      </c>
      <c r="E667" s="29"/>
      <c r="F667" s="29">
        <v>0</v>
      </c>
      <c r="G667" s="29"/>
      <c r="H667" s="29"/>
      <c r="I667" s="29"/>
      <c r="J667" s="29"/>
      <c r="K667" s="29"/>
      <c r="L667" s="29"/>
      <c r="M667" s="29"/>
      <c r="N667" s="30"/>
      <c r="O667" s="83"/>
      <c r="P667" s="114"/>
    </row>
    <row r="668" spans="2:16" x14ac:dyDescent="0.3">
      <c r="B668" s="21" t="s">
        <v>1215</v>
      </c>
      <c r="C668" s="1" t="s">
        <v>1192</v>
      </c>
      <c r="D668" s="28">
        <f t="shared" si="138"/>
        <v>0</v>
      </c>
      <c r="E668" s="29"/>
      <c r="F668" s="29">
        <v>0</v>
      </c>
      <c r="G668" s="29"/>
      <c r="H668" s="29"/>
      <c r="I668" s="29"/>
      <c r="J668" s="29"/>
      <c r="K668" s="29"/>
      <c r="L668" s="29"/>
      <c r="M668" s="29"/>
      <c r="N668" s="30"/>
      <c r="O668" s="83"/>
      <c r="P668" s="114"/>
    </row>
    <row r="669" spans="2:16" x14ac:dyDescent="0.3">
      <c r="B669" s="21" t="s">
        <v>1216</v>
      </c>
      <c r="C669" s="1" t="s">
        <v>1194</v>
      </c>
      <c r="D669" s="28">
        <f>SUM(E669:I669)+SUM(K669:M669)</f>
        <v>0</v>
      </c>
      <c r="E669" s="64">
        <f t="shared" ref="E669:M669" si="139">E660-E661-E662-E663-E664-E665-E666-E667-E668</f>
        <v>0</v>
      </c>
      <c r="F669" s="64">
        <f t="shared" si="139"/>
        <v>0</v>
      </c>
      <c r="G669" s="64">
        <f t="shared" si="139"/>
        <v>0</v>
      </c>
      <c r="H669" s="64">
        <f t="shared" si="139"/>
        <v>0</v>
      </c>
      <c r="I669" s="64">
        <f t="shared" si="139"/>
        <v>0</v>
      </c>
      <c r="J669" s="64">
        <f t="shared" si="139"/>
        <v>0</v>
      </c>
      <c r="K669" s="64">
        <f t="shared" si="139"/>
        <v>0</v>
      </c>
      <c r="L669" s="64">
        <f t="shared" si="139"/>
        <v>0</v>
      </c>
      <c r="M669" s="64">
        <f t="shared" si="139"/>
        <v>0</v>
      </c>
      <c r="N669" s="30"/>
      <c r="O669" s="83"/>
      <c r="P669" s="114"/>
    </row>
    <row r="670" spans="2:16" ht="43.2" x14ac:dyDescent="0.3">
      <c r="B670" s="21" t="s">
        <v>1217</v>
      </c>
      <c r="C670" s="1" t="s">
        <v>1218</v>
      </c>
      <c r="D670" s="28">
        <f t="shared" si="133"/>
        <v>0</v>
      </c>
      <c r="E670" s="29"/>
      <c r="F670" s="29">
        <v>0</v>
      </c>
      <c r="G670" s="53"/>
      <c r="H670" s="29"/>
      <c r="I670" s="29"/>
      <c r="J670" s="29"/>
      <c r="K670" s="53"/>
      <c r="L670" s="53"/>
      <c r="M670" s="53"/>
      <c r="N670" s="31" t="str">
        <f>IF((D670&gt;=D633)*AND(E670&gt;=E633)*AND(F670&gt;=F633)*AND(G670&gt;=G633)*AND(H670&gt;=H633)*AND(I670&gt;=I633)*AND(K670&gt;=K633)*AND(L670&gt;=L633)*AND(M670&gt;=M633)*AND(J670&gt;=J633),"Выполнено","ПРОВЕРИТЬ (самих учреждений не может быть меньше чем муниципалитетов с учреждениями)
)")</f>
        <v>Выполнено</v>
      </c>
      <c r="O670" s="83"/>
      <c r="P670" s="52"/>
    </row>
    <row r="671" spans="2:16" ht="43.2" x14ac:dyDescent="0.3">
      <c r="B671" s="21" t="s">
        <v>1219</v>
      </c>
      <c r="C671" s="1" t="s">
        <v>1220</v>
      </c>
      <c r="D671" s="28">
        <f t="shared" si="133"/>
        <v>0</v>
      </c>
      <c r="E671" s="64">
        <f t="shared" ref="E671:M671" si="140">E670-E420</f>
        <v>0</v>
      </c>
      <c r="F671" s="64">
        <f t="shared" si="140"/>
        <v>0</v>
      </c>
      <c r="G671" s="64">
        <f t="shared" si="140"/>
        <v>0</v>
      </c>
      <c r="H671" s="64">
        <f t="shared" si="140"/>
        <v>0</v>
      </c>
      <c r="I671" s="64">
        <f t="shared" si="140"/>
        <v>0</v>
      </c>
      <c r="J671" s="64">
        <f t="shared" si="140"/>
        <v>0</v>
      </c>
      <c r="K671" s="64">
        <f t="shared" si="140"/>
        <v>0</v>
      </c>
      <c r="L671" s="64">
        <f t="shared" si="140"/>
        <v>0</v>
      </c>
      <c r="M671" s="64">
        <f t="shared" si="140"/>
        <v>0</v>
      </c>
      <c r="N671" s="31" t="str">
        <f>IF((D671&gt;=0)*AND(E671&gt;=0)*AND(F671&gt;=0)*AND(G671&gt;=0)*AND(H671&gt;=0)*AND(I671&gt;=0)*AND(K671&gt;=0)*AND(L671&gt;=0)*AND(M671&gt;=0)*AND(J671&gt;=0),"Выполнено","ПРОВЕРИТЬ (если органов местного самоуправления - юридических лиц (строка 16) оказалось больше, чем муниципальных учреждений (строка 24.7), значит при их подсчете допущены ошибки)")</f>
        <v>Выполнено</v>
      </c>
      <c r="O671" s="83"/>
      <c r="P671" s="114"/>
    </row>
    <row r="672" spans="2:16" x14ac:dyDescent="0.3">
      <c r="B672" s="21" t="s">
        <v>1221</v>
      </c>
      <c r="C672" s="1" t="s">
        <v>1178</v>
      </c>
      <c r="D672" s="28">
        <f t="shared" si="133"/>
        <v>0</v>
      </c>
      <c r="E672" s="29"/>
      <c r="F672" s="29">
        <v>0</v>
      </c>
      <c r="G672" s="29"/>
      <c r="H672" s="29"/>
      <c r="I672" s="29"/>
      <c r="J672" s="29"/>
      <c r="K672" s="29"/>
      <c r="L672" s="29"/>
      <c r="M672" s="29"/>
      <c r="N672" s="30"/>
      <c r="O672" s="83"/>
      <c r="P672" s="114"/>
    </row>
    <row r="673" spans="2:16" x14ac:dyDescent="0.3">
      <c r="B673" s="21" t="s">
        <v>1222</v>
      </c>
      <c r="C673" s="1" t="s">
        <v>1180</v>
      </c>
      <c r="D673" s="28">
        <f>SUM(E673:I673)+SUM(K673:M673)</f>
        <v>0</v>
      </c>
      <c r="E673" s="29"/>
      <c r="F673" s="29">
        <v>0</v>
      </c>
      <c r="G673" s="29"/>
      <c r="H673" s="29"/>
      <c r="I673" s="29"/>
      <c r="J673" s="29"/>
      <c r="K673" s="29"/>
      <c r="L673" s="29"/>
      <c r="M673" s="29"/>
      <c r="N673" s="30"/>
      <c r="O673" s="83"/>
      <c r="P673" s="114"/>
    </row>
    <row r="674" spans="2:16" x14ac:dyDescent="0.3">
      <c r="B674" s="21" t="s">
        <v>1223</v>
      </c>
      <c r="C674" s="1" t="s">
        <v>1182</v>
      </c>
      <c r="D674" s="28">
        <f>SUM(E674:I674)+SUM(K674:M674)</f>
        <v>0</v>
      </c>
      <c r="E674" s="29"/>
      <c r="F674" s="29">
        <v>0</v>
      </c>
      <c r="G674" s="29"/>
      <c r="H674" s="29"/>
      <c r="I674" s="29"/>
      <c r="J674" s="29"/>
      <c r="K674" s="29"/>
      <c r="L674" s="29"/>
      <c r="M674" s="29"/>
      <c r="N674" s="30"/>
      <c r="O674" s="83"/>
      <c r="P674" s="114"/>
    </row>
    <row r="675" spans="2:16" ht="43.2" x14ac:dyDescent="0.3">
      <c r="B675" s="21" t="s">
        <v>1224</v>
      </c>
      <c r="C675" s="1" t="s">
        <v>1184</v>
      </c>
      <c r="D675" s="28">
        <f t="shared" si="133"/>
        <v>0</v>
      </c>
      <c r="E675" s="29"/>
      <c r="F675" s="29">
        <v>0</v>
      </c>
      <c r="G675" s="29"/>
      <c r="H675" s="29"/>
      <c r="I675" s="29"/>
      <c r="J675" s="29"/>
      <c r="K675" s="29"/>
      <c r="L675" s="29"/>
      <c r="M675" s="29"/>
      <c r="N675" s="30"/>
      <c r="O675" s="83"/>
      <c r="P675" s="114"/>
    </row>
    <row r="676" spans="2:16" ht="43.2" x14ac:dyDescent="0.3">
      <c r="B676" s="21" t="s">
        <v>1225</v>
      </c>
      <c r="C676" s="1" t="s">
        <v>1186</v>
      </c>
      <c r="D676" s="28">
        <f t="shared" si="133"/>
        <v>0</v>
      </c>
      <c r="E676" s="29"/>
      <c r="F676" s="29">
        <v>0</v>
      </c>
      <c r="G676" s="29"/>
      <c r="H676" s="29"/>
      <c r="I676" s="29"/>
      <c r="J676" s="29"/>
      <c r="K676" s="29"/>
      <c r="L676" s="29"/>
      <c r="M676" s="29"/>
      <c r="N676" s="30"/>
      <c r="O676" s="83"/>
      <c r="P676" s="114"/>
    </row>
    <row r="677" spans="2:16" x14ac:dyDescent="0.3">
      <c r="B677" s="21" t="s">
        <v>1226</v>
      </c>
      <c r="C677" s="1" t="s">
        <v>1188</v>
      </c>
      <c r="D677" s="28">
        <f t="shared" si="133"/>
        <v>0</v>
      </c>
      <c r="E677" s="29"/>
      <c r="F677" s="29">
        <v>0</v>
      </c>
      <c r="G677" s="29"/>
      <c r="H677" s="29"/>
      <c r="I677" s="29"/>
      <c r="J677" s="29"/>
      <c r="K677" s="29"/>
      <c r="L677" s="29"/>
      <c r="M677" s="29"/>
      <c r="N677" s="30"/>
      <c r="O677" s="83"/>
      <c r="P677" s="114"/>
    </row>
    <row r="678" spans="2:16" x14ac:dyDescent="0.3">
      <c r="B678" s="21" t="s">
        <v>1227</v>
      </c>
      <c r="C678" s="1" t="s">
        <v>1190</v>
      </c>
      <c r="D678" s="28">
        <f t="shared" si="133"/>
        <v>0</v>
      </c>
      <c r="E678" s="29"/>
      <c r="F678" s="29">
        <v>0</v>
      </c>
      <c r="G678" s="29"/>
      <c r="H678" s="29"/>
      <c r="I678" s="29"/>
      <c r="J678" s="29"/>
      <c r="K678" s="29"/>
      <c r="L678" s="29"/>
      <c r="M678" s="29"/>
      <c r="N678" s="30"/>
      <c r="O678" s="83"/>
      <c r="P678" s="114"/>
    </row>
    <row r="679" spans="2:16" x14ac:dyDescent="0.3">
      <c r="B679" s="21" t="s">
        <v>1228</v>
      </c>
      <c r="C679" s="1" t="s">
        <v>1192</v>
      </c>
      <c r="D679" s="28">
        <f t="shared" si="133"/>
        <v>0</v>
      </c>
      <c r="E679" s="29"/>
      <c r="F679" s="29">
        <v>0</v>
      </c>
      <c r="G679" s="29"/>
      <c r="H679" s="29"/>
      <c r="I679" s="29"/>
      <c r="J679" s="29"/>
      <c r="K679" s="29"/>
      <c r="L679" s="29"/>
      <c r="M679" s="29"/>
      <c r="N679" s="30"/>
      <c r="O679" s="83"/>
      <c r="P679" s="114"/>
    </row>
    <row r="680" spans="2:16" x14ac:dyDescent="0.3">
      <c r="B680" s="21" t="s">
        <v>1229</v>
      </c>
      <c r="C680" s="1" t="s">
        <v>1194</v>
      </c>
      <c r="D680" s="28">
        <f>SUM(E680:I680)+SUM(K680:M680)</f>
        <v>0</v>
      </c>
      <c r="E680" s="64">
        <f t="shared" ref="E680:M680" si="141">E671-E672-E673-E674-E675-E676-E677-E678-E679</f>
        <v>0</v>
      </c>
      <c r="F680" s="64">
        <f t="shared" si="141"/>
        <v>0</v>
      </c>
      <c r="G680" s="64">
        <f t="shared" si="141"/>
        <v>0</v>
      </c>
      <c r="H680" s="64">
        <f t="shared" si="141"/>
        <v>0</v>
      </c>
      <c r="I680" s="64">
        <f t="shared" si="141"/>
        <v>0</v>
      </c>
      <c r="J680" s="64">
        <f t="shared" si="141"/>
        <v>0</v>
      </c>
      <c r="K680" s="64">
        <f t="shared" si="141"/>
        <v>0</v>
      </c>
      <c r="L680" s="64">
        <f t="shared" si="141"/>
        <v>0</v>
      </c>
      <c r="M680" s="64">
        <f t="shared" si="141"/>
        <v>0</v>
      </c>
      <c r="N680" s="30"/>
      <c r="O680" s="83"/>
      <c r="P680" s="114"/>
    </row>
    <row r="681" spans="2:16" ht="43.2" x14ac:dyDescent="0.3">
      <c r="B681" s="116" t="s">
        <v>1230</v>
      </c>
      <c r="C681" s="1" t="s">
        <v>1231</v>
      </c>
      <c r="D681" s="28">
        <f t="shared" ref="D681:D699" si="142">SUM(E681:I681)+SUM(K681:M681)</f>
        <v>0</v>
      </c>
      <c r="E681" s="29"/>
      <c r="F681" s="29">
        <v>0</v>
      </c>
      <c r="G681" s="29"/>
      <c r="H681" s="29"/>
      <c r="I681" s="29"/>
      <c r="J681" s="53"/>
      <c r="K681" s="53"/>
      <c r="L681" s="53"/>
      <c r="M681" s="53"/>
      <c r="N681" s="30"/>
      <c r="O681" s="83"/>
      <c r="P681" s="114"/>
    </row>
    <row r="682" spans="2:16" x14ac:dyDescent="0.3">
      <c r="B682" s="116" t="s">
        <v>1232</v>
      </c>
      <c r="C682" s="1" t="s">
        <v>1178</v>
      </c>
      <c r="D682" s="28">
        <f t="shared" si="142"/>
        <v>0</v>
      </c>
      <c r="E682" s="29"/>
      <c r="F682" s="29">
        <v>0</v>
      </c>
      <c r="G682" s="29"/>
      <c r="H682" s="29"/>
      <c r="I682" s="29"/>
      <c r="J682" s="53"/>
      <c r="K682" s="53"/>
      <c r="L682" s="53"/>
      <c r="M682" s="53"/>
      <c r="N682" s="30"/>
      <c r="O682" s="83"/>
      <c r="P682" s="114"/>
    </row>
    <row r="683" spans="2:16" x14ac:dyDescent="0.3">
      <c r="B683" s="21" t="s">
        <v>1233</v>
      </c>
      <c r="C683" s="1" t="s">
        <v>1180</v>
      </c>
      <c r="D683" s="28">
        <f>SUM(E683:I683)+SUM(K683:M683)</f>
        <v>0</v>
      </c>
      <c r="E683" s="29"/>
      <c r="F683" s="29">
        <v>0</v>
      </c>
      <c r="G683" s="29"/>
      <c r="H683" s="29"/>
      <c r="I683" s="29"/>
      <c r="J683" s="29"/>
      <c r="K683" s="29"/>
      <c r="L683" s="29"/>
      <c r="M683" s="29"/>
      <c r="N683" s="30"/>
      <c r="O683" s="83"/>
      <c r="P683" s="114"/>
    </row>
    <row r="684" spans="2:16" x14ac:dyDescent="0.3">
      <c r="B684" s="21" t="s">
        <v>1234</v>
      </c>
      <c r="C684" s="1" t="s">
        <v>1182</v>
      </c>
      <c r="D684" s="28">
        <f>SUM(E684:I684)+SUM(K684:M684)</f>
        <v>0</v>
      </c>
      <c r="E684" s="29"/>
      <c r="F684" s="29">
        <v>0</v>
      </c>
      <c r="G684" s="29"/>
      <c r="H684" s="29"/>
      <c r="I684" s="29"/>
      <c r="J684" s="29"/>
      <c r="K684" s="29"/>
      <c r="L684" s="29"/>
      <c r="M684" s="29"/>
      <c r="N684" s="30"/>
      <c r="O684" s="83"/>
      <c r="P684" s="114"/>
    </row>
    <row r="685" spans="2:16" ht="43.2" x14ac:dyDescent="0.3">
      <c r="B685" s="116" t="s">
        <v>1235</v>
      </c>
      <c r="C685" s="1" t="s">
        <v>1184</v>
      </c>
      <c r="D685" s="28">
        <f t="shared" si="142"/>
        <v>0</v>
      </c>
      <c r="E685" s="29"/>
      <c r="F685" s="29">
        <v>0</v>
      </c>
      <c r="G685" s="29"/>
      <c r="H685" s="29"/>
      <c r="I685" s="29"/>
      <c r="J685" s="53"/>
      <c r="K685" s="53"/>
      <c r="L685" s="53"/>
      <c r="M685" s="53"/>
      <c r="N685" s="30"/>
      <c r="O685" s="83"/>
      <c r="P685" s="114"/>
    </row>
    <row r="686" spans="2:16" ht="43.2" x14ac:dyDescent="0.3">
      <c r="B686" s="116" t="s">
        <v>1236</v>
      </c>
      <c r="C686" s="1" t="s">
        <v>1186</v>
      </c>
      <c r="D686" s="28">
        <f t="shared" si="142"/>
        <v>0</v>
      </c>
      <c r="E686" s="29"/>
      <c r="F686" s="29">
        <v>0</v>
      </c>
      <c r="G686" s="29"/>
      <c r="H686" s="29"/>
      <c r="I686" s="29"/>
      <c r="J686" s="53"/>
      <c r="K686" s="53"/>
      <c r="L686" s="53"/>
      <c r="M686" s="53"/>
      <c r="N686" s="30"/>
      <c r="O686" s="83"/>
      <c r="P686" s="114"/>
    </row>
    <row r="687" spans="2:16" x14ac:dyDescent="0.3">
      <c r="B687" s="116" t="s">
        <v>1237</v>
      </c>
      <c r="C687" s="1" t="s">
        <v>1188</v>
      </c>
      <c r="D687" s="28">
        <f t="shared" si="142"/>
        <v>0</v>
      </c>
      <c r="E687" s="29"/>
      <c r="F687" s="29">
        <v>0</v>
      </c>
      <c r="G687" s="29"/>
      <c r="H687" s="29"/>
      <c r="I687" s="29"/>
      <c r="J687" s="53"/>
      <c r="K687" s="53"/>
      <c r="L687" s="53"/>
      <c r="M687" s="53"/>
      <c r="N687" s="30"/>
      <c r="O687" s="83"/>
      <c r="P687" s="114"/>
    </row>
    <row r="688" spans="2:16" x14ac:dyDescent="0.3">
      <c r="B688" s="116" t="s">
        <v>1238</v>
      </c>
      <c r="C688" s="1" t="s">
        <v>1190</v>
      </c>
      <c r="D688" s="28">
        <f t="shared" si="142"/>
        <v>0</v>
      </c>
      <c r="E688" s="29"/>
      <c r="F688" s="29">
        <v>0</v>
      </c>
      <c r="G688" s="29"/>
      <c r="H688" s="29"/>
      <c r="I688" s="29"/>
      <c r="J688" s="53"/>
      <c r="K688" s="53"/>
      <c r="L688" s="53"/>
      <c r="M688" s="53"/>
      <c r="N688" s="30"/>
      <c r="O688" s="83"/>
      <c r="P688" s="114"/>
    </row>
    <row r="689" spans="2:16" x14ac:dyDescent="0.3">
      <c r="B689" s="116" t="s">
        <v>1239</v>
      </c>
      <c r="C689" s="1" t="s">
        <v>1192</v>
      </c>
      <c r="D689" s="28">
        <f t="shared" si="142"/>
        <v>0</v>
      </c>
      <c r="E689" s="29"/>
      <c r="F689" s="29">
        <v>0</v>
      </c>
      <c r="G689" s="29"/>
      <c r="H689" s="29"/>
      <c r="I689" s="29"/>
      <c r="J689" s="53"/>
      <c r="K689" s="53"/>
      <c r="L689" s="53"/>
      <c r="M689" s="53"/>
      <c r="N689" s="30"/>
      <c r="O689" s="83"/>
      <c r="P689" s="114"/>
    </row>
    <row r="690" spans="2:16" x14ac:dyDescent="0.3">
      <c r="B690" s="116" t="s">
        <v>1240</v>
      </c>
      <c r="C690" s="1" t="s">
        <v>1194</v>
      </c>
      <c r="D690" s="28">
        <f>SUM(E690:I690)+SUM(K690:M690)</f>
        <v>0</v>
      </c>
      <c r="E690" s="64">
        <f t="shared" ref="E690:M690" si="143">E681-E682-E683-E684-E685-E686-E687-E688-E689</f>
        <v>0</v>
      </c>
      <c r="F690" s="64">
        <f t="shared" si="143"/>
        <v>0</v>
      </c>
      <c r="G690" s="64">
        <f t="shared" si="143"/>
        <v>0</v>
      </c>
      <c r="H690" s="64">
        <f t="shared" si="143"/>
        <v>0</v>
      </c>
      <c r="I690" s="64">
        <f t="shared" si="143"/>
        <v>0</v>
      </c>
      <c r="J690" s="64">
        <f t="shared" si="143"/>
        <v>0</v>
      </c>
      <c r="K690" s="64">
        <f t="shared" si="143"/>
        <v>0</v>
      </c>
      <c r="L690" s="64">
        <f t="shared" si="143"/>
        <v>0</v>
      </c>
      <c r="M690" s="64">
        <f t="shared" si="143"/>
        <v>0</v>
      </c>
      <c r="N690" s="30"/>
      <c r="O690" s="83"/>
      <c r="P690" s="114"/>
    </row>
    <row r="691" spans="2:16" ht="57.6" x14ac:dyDescent="0.3">
      <c r="B691" s="21" t="s">
        <v>1241</v>
      </c>
      <c r="C691" s="1" t="s">
        <v>1242</v>
      </c>
      <c r="D691" s="28">
        <f t="shared" si="142"/>
        <v>0</v>
      </c>
      <c r="E691" s="29"/>
      <c r="F691" s="29">
        <v>0</v>
      </c>
      <c r="G691" s="29"/>
      <c r="H691" s="29"/>
      <c r="I691" s="29"/>
      <c r="J691" s="53"/>
      <c r="K691" s="53"/>
      <c r="L691" s="53"/>
      <c r="M691" s="53"/>
      <c r="N691" s="30"/>
      <c r="O691" s="83"/>
      <c r="P691" s="114"/>
    </row>
    <row r="692" spans="2:16" x14ac:dyDescent="0.3">
      <c r="B692" s="21" t="s">
        <v>1243</v>
      </c>
      <c r="C692" s="1" t="s">
        <v>1178</v>
      </c>
      <c r="D692" s="28">
        <f t="shared" si="142"/>
        <v>0</v>
      </c>
      <c r="E692" s="29"/>
      <c r="F692" s="29"/>
      <c r="G692" s="29"/>
      <c r="H692" s="29"/>
      <c r="I692" s="29"/>
      <c r="J692" s="53"/>
      <c r="K692" s="53"/>
      <c r="L692" s="53"/>
      <c r="M692" s="53"/>
      <c r="N692" s="30"/>
      <c r="O692" s="123"/>
      <c r="P692" s="114"/>
    </row>
    <row r="693" spans="2:16" x14ac:dyDescent="0.3">
      <c r="B693" s="21" t="s">
        <v>1244</v>
      </c>
      <c r="C693" s="1" t="s">
        <v>1180</v>
      </c>
      <c r="D693" s="28">
        <f>SUM(E693:I693)+SUM(K693:M693)</f>
        <v>0</v>
      </c>
      <c r="E693" s="29"/>
      <c r="F693" s="29">
        <v>0</v>
      </c>
      <c r="G693" s="29"/>
      <c r="H693" s="29"/>
      <c r="I693" s="29"/>
      <c r="J693" s="29"/>
      <c r="K693" s="29"/>
      <c r="L693" s="29"/>
      <c r="M693" s="29"/>
      <c r="N693" s="30"/>
      <c r="O693" s="83"/>
      <c r="P693" s="114"/>
    </row>
    <row r="694" spans="2:16" x14ac:dyDescent="0.3">
      <c r="B694" s="21" t="s">
        <v>1245</v>
      </c>
      <c r="C694" s="1" t="s">
        <v>1182</v>
      </c>
      <c r="D694" s="28">
        <f>SUM(E694:I694)+SUM(K694:M694)</f>
        <v>0</v>
      </c>
      <c r="E694" s="29"/>
      <c r="F694" s="29">
        <v>0</v>
      </c>
      <c r="G694" s="29"/>
      <c r="H694" s="29"/>
      <c r="I694" s="29"/>
      <c r="J694" s="29"/>
      <c r="K694" s="29"/>
      <c r="L694" s="29"/>
      <c r="M694" s="29"/>
      <c r="N694" s="30"/>
      <c r="O694" s="83"/>
      <c r="P694" s="114"/>
    </row>
    <row r="695" spans="2:16" ht="43.2" x14ac:dyDescent="0.3">
      <c r="B695" s="21" t="s">
        <v>1246</v>
      </c>
      <c r="C695" s="1" t="s">
        <v>1184</v>
      </c>
      <c r="D695" s="28">
        <f t="shared" si="142"/>
        <v>0</v>
      </c>
      <c r="E695" s="29"/>
      <c r="F695" s="29">
        <v>0</v>
      </c>
      <c r="G695" s="29"/>
      <c r="H695" s="29"/>
      <c r="I695" s="29"/>
      <c r="J695" s="53"/>
      <c r="K695" s="53"/>
      <c r="L695" s="53"/>
      <c r="M695" s="53"/>
      <c r="N695" s="30"/>
      <c r="O695" s="123"/>
      <c r="P695" s="114"/>
    </row>
    <row r="696" spans="2:16" ht="43.2" x14ac:dyDescent="0.3">
      <c r="B696" s="21" t="s">
        <v>1247</v>
      </c>
      <c r="C696" s="1" t="s">
        <v>1186</v>
      </c>
      <c r="D696" s="28">
        <f t="shared" si="142"/>
        <v>0</v>
      </c>
      <c r="E696" s="29"/>
      <c r="F696" s="29">
        <v>0</v>
      </c>
      <c r="G696" s="29"/>
      <c r="H696" s="29"/>
      <c r="I696" s="29"/>
      <c r="J696" s="53"/>
      <c r="K696" s="53"/>
      <c r="L696" s="53"/>
      <c r="M696" s="53"/>
      <c r="N696" s="30"/>
      <c r="O696" s="123"/>
      <c r="P696" s="114"/>
    </row>
    <row r="697" spans="2:16" x14ac:dyDescent="0.3">
      <c r="B697" s="21" t="s">
        <v>1248</v>
      </c>
      <c r="C697" s="1" t="s">
        <v>1188</v>
      </c>
      <c r="D697" s="28">
        <f t="shared" si="142"/>
        <v>0</v>
      </c>
      <c r="E697" s="29"/>
      <c r="F697" s="29">
        <v>0</v>
      </c>
      <c r="G697" s="29"/>
      <c r="H697" s="29"/>
      <c r="I697" s="29"/>
      <c r="J697" s="53"/>
      <c r="K697" s="53"/>
      <c r="L697" s="53"/>
      <c r="M697" s="53"/>
      <c r="N697" s="30"/>
      <c r="O697" s="123"/>
      <c r="P697" s="114"/>
    </row>
    <row r="698" spans="2:16" x14ac:dyDescent="0.3">
      <c r="B698" s="21" t="s">
        <v>1249</v>
      </c>
      <c r="C698" s="1" t="s">
        <v>1190</v>
      </c>
      <c r="D698" s="28">
        <f t="shared" si="142"/>
        <v>0</v>
      </c>
      <c r="E698" s="29"/>
      <c r="F698" s="29">
        <v>0</v>
      </c>
      <c r="G698" s="29"/>
      <c r="H698" s="29"/>
      <c r="I698" s="29"/>
      <c r="J698" s="53"/>
      <c r="K698" s="53"/>
      <c r="L698" s="53"/>
      <c r="M698" s="53"/>
      <c r="N698" s="30"/>
      <c r="O698" s="123"/>
      <c r="P698" s="114"/>
    </row>
    <row r="699" spans="2:16" x14ac:dyDescent="0.3">
      <c r="B699" s="21" t="s">
        <v>1250</v>
      </c>
      <c r="C699" s="1" t="s">
        <v>1192</v>
      </c>
      <c r="D699" s="28">
        <f t="shared" si="142"/>
        <v>0</v>
      </c>
      <c r="E699" s="29"/>
      <c r="F699" s="29">
        <v>0</v>
      </c>
      <c r="G699" s="29"/>
      <c r="H699" s="29"/>
      <c r="I699" s="29"/>
      <c r="J699" s="53"/>
      <c r="K699" s="53"/>
      <c r="L699" s="53"/>
      <c r="M699" s="53"/>
      <c r="N699" s="30"/>
      <c r="O699" s="123"/>
      <c r="P699" s="114"/>
    </row>
    <row r="700" spans="2:16" x14ac:dyDescent="0.3">
      <c r="B700" s="21" t="s">
        <v>1251</v>
      </c>
      <c r="C700" s="1" t="s">
        <v>1194</v>
      </c>
      <c r="D700" s="28">
        <f>SUM(E700:I700)+SUM(K700:M700)</f>
        <v>0</v>
      </c>
      <c r="E700" s="64">
        <f>E691-E692-E693-E694-E695-E696-E697-E698-E699</f>
        <v>0</v>
      </c>
      <c r="F700" s="64">
        <f t="shared" ref="F700:M700" si="144">F691-F692-F693-F694-F695-F696-F697-F698-F699</f>
        <v>0</v>
      </c>
      <c r="G700" s="64">
        <f t="shared" si="144"/>
        <v>0</v>
      </c>
      <c r="H700" s="64">
        <f t="shared" si="144"/>
        <v>0</v>
      </c>
      <c r="I700" s="64">
        <f t="shared" si="144"/>
        <v>0</v>
      </c>
      <c r="J700" s="64">
        <f t="shared" si="144"/>
        <v>0</v>
      </c>
      <c r="K700" s="64">
        <f t="shared" si="144"/>
        <v>0</v>
      </c>
      <c r="L700" s="64">
        <f t="shared" si="144"/>
        <v>0</v>
      </c>
      <c r="M700" s="64">
        <f t="shared" si="144"/>
        <v>0</v>
      </c>
      <c r="N700" s="30"/>
      <c r="O700" s="83"/>
      <c r="P700" s="114"/>
    </row>
    <row r="701" spans="2:16" ht="57.6" x14ac:dyDescent="0.3">
      <c r="B701" s="21" t="s">
        <v>1252</v>
      </c>
      <c r="C701" s="1" t="s">
        <v>1253</v>
      </c>
      <c r="D701" s="28">
        <f t="shared" ref="D701:D702" si="145">SUM(E701:I701)+SUM(K701:M701)</f>
        <v>0</v>
      </c>
      <c r="E701" s="29"/>
      <c r="F701" s="29">
        <v>0</v>
      </c>
      <c r="G701" s="29"/>
      <c r="H701" s="29"/>
      <c r="I701" s="29"/>
      <c r="J701" s="29"/>
      <c r="K701" s="29"/>
      <c r="L701" s="29"/>
      <c r="M701" s="29"/>
      <c r="N701" s="30"/>
      <c r="O701" s="83"/>
      <c r="P701" s="114"/>
    </row>
    <row r="702" spans="2:16" x14ac:dyDescent="0.3">
      <c r="B702" s="21" t="s">
        <v>1254</v>
      </c>
      <c r="C702" s="1" t="s">
        <v>1178</v>
      </c>
      <c r="D702" s="28">
        <f t="shared" si="145"/>
        <v>0</v>
      </c>
      <c r="E702" s="29"/>
      <c r="F702" s="29">
        <v>0</v>
      </c>
      <c r="G702" s="29"/>
      <c r="H702" s="29"/>
      <c r="I702" s="29"/>
      <c r="J702" s="29"/>
      <c r="K702" s="29"/>
      <c r="L702" s="29"/>
      <c r="M702" s="29"/>
      <c r="N702" s="30"/>
      <c r="O702" s="83"/>
      <c r="P702" s="114"/>
    </row>
    <row r="703" spans="2:16" x14ac:dyDescent="0.3">
      <c r="B703" s="21" t="s">
        <v>1255</v>
      </c>
      <c r="C703" s="1" t="s">
        <v>1180</v>
      </c>
      <c r="D703" s="28">
        <f>SUM(E703:I703)+SUM(K703:M703)</f>
        <v>0</v>
      </c>
      <c r="E703" s="29"/>
      <c r="F703" s="29">
        <v>0</v>
      </c>
      <c r="G703" s="29"/>
      <c r="H703" s="29"/>
      <c r="I703" s="29"/>
      <c r="J703" s="29"/>
      <c r="K703" s="29"/>
      <c r="L703" s="29"/>
      <c r="M703" s="29"/>
      <c r="N703" s="30"/>
      <c r="O703" s="83"/>
      <c r="P703" s="114"/>
    </row>
    <row r="704" spans="2:16" x14ac:dyDescent="0.3">
      <c r="B704" s="21" t="s">
        <v>1256</v>
      </c>
      <c r="C704" s="1" t="s">
        <v>1182</v>
      </c>
      <c r="D704" s="28">
        <f>SUM(E704:I704)+SUM(K704:M704)</f>
        <v>0</v>
      </c>
      <c r="E704" s="29"/>
      <c r="F704" s="29">
        <v>0</v>
      </c>
      <c r="G704" s="29"/>
      <c r="H704" s="29"/>
      <c r="I704" s="29"/>
      <c r="J704" s="29"/>
      <c r="K704" s="29"/>
      <c r="L704" s="29"/>
      <c r="M704" s="29"/>
      <c r="N704" s="30"/>
      <c r="O704" s="83"/>
      <c r="P704" s="114"/>
    </row>
    <row r="705" spans="2:16" ht="43.2" x14ac:dyDescent="0.3">
      <c r="B705" s="21" t="s">
        <v>1257</v>
      </c>
      <c r="C705" s="1" t="s">
        <v>1184</v>
      </c>
      <c r="D705" s="28">
        <f t="shared" ref="D705:D709" si="146">SUM(E705:I705)+SUM(K705:M705)</f>
        <v>0</v>
      </c>
      <c r="E705" s="29"/>
      <c r="F705" s="29">
        <v>0</v>
      </c>
      <c r="G705" s="29"/>
      <c r="H705" s="29"/>
      <c r="I705" s="29"/>
      <c r="J705" s="29"/>
      <c r="K705" s="29"/>
      <c r="L705" s="29"/>
      <c r="M705" s="29"/>
      <c r="N705" s="30"/>
      <c r="O705" s="83"/>
      <c r="P705" s="114"/>
    </row>
    <row r="706" spans="2:16" ht="43.2" x14ac:dyDescent="0.3">
      <c r="B706" s="21" t="s">
        <v>1258</v>
      </c>
      <c r="C706" s="1" t="s">
        <v>1186</v>
      </c>
      <c r="D706" s="28">
        <f t="shared" si="146"/>
        <v>0</v>
      </c>
      <c r="E706" s="29"/>
      <c r="F706" s="29">
        <v>0</v>
      </c>
      <c r="G706" s="29"/>
      <c r="H706" s="29"/>
      <c r="I706" s="29"/>
      <c r="J706" s="29"/>
      <c r="K706" s="29"/>
      <c r="L706" s="29"/>
      <c r="M706" s="29"/>
      <c r="N706" s="30"/>
      <c r="O706" s="83"/>
      <c r="P706" s="114"/>
    </row>
    <row r="707" spans="2:16" x14ac:dyDescent="0.3">
      <c r="B707" s="21" t="s">
        <v>1259</v>
      </c>
      <c r="C707" s="1" t="s">
        <v>1188</v>
      </c>
      <c r="D707" s="28">
        <f t="shared" si="146"/>
        <v>0</v>
      </c>
      <c r="E707" s="29"/>
      <c r="F707" s="29">
        <v>0</v>
      </c>
      <c r="G707" s="29"/>
      <c r="H707" s="29"/>
      <c r="I707" s="29"/>
      <c r="J707" s="29"/>
      <c r="K707" s="29"/>
      <c r="L707" s="29"/>
      <c r="M707" s="29"/>
      <c r="N707" s="30"/>
      <c r="O707" s="83"/>
      <c r="P707" s="114"/>
    </row>
    <row r="708" spans="2:16" x14ac:dyDescent="0.3">
      <c r="B708" s="21" t="s">
        <v>1260</v>
      </c>
      <c r="C708" s="1" t="s">
        <v>1190</v>
      </c>
      <c r="D708" s="28">
        <f t="shared" si="146"/>
        <v>0</v>
      </c>
      <c r="E708" s="29"/>
      <c r="F708" s="29">
        <v>0</v>
      </c>
      <c r="G708" s="29"/>
      <c r="H708" s="29"/>
      <c r="I708" s="29"/>
      <c r="J708" s="29"/>
      <c r="K708" s="29"/>
      <c r="L708" s="29"/>
      <c r="M708" s="29"/>
      <c r="N708" s="30"/>
      <c r="O708" s="83"/>
      <c r="P708" s="114"/>
    </row>
    <row r="709" spans="2:16" x14ac:dyDescent="0.3">
      <c r="B709" s="21" t="s">
        <v>1261</v>
      </c>
      <c r="C709" s="1" t="s">
        <v>1192</v>
      </c>
      <c r="D709" s="28">
        <f t="shared" si="146"/>
        <v>0</v>
      </c>
      <c r="E709" s="29"/>
      <c r="F709" s="29">
        <v>0</v>
      </c>
      <c r="G709" s="29"/>
      <c r="H709" s="29"/>
      <c r="I709" s="29"/>
      <c r="J709" s="29"/>
      <c r="K709" s="29"/>
      <c r="L709" s="29"/>
      <c r="M709" s="29"/>
      <c r="N709" s="30"/>
      <c r="O709" s="83"/>
      <c r="P709" s="114"/>
    </row>
    <row r="710" spans="2:16" x14ac:dyDescent="0.3">
      <c r="B710" s="21" t="s">
        <v>1262</v>
      </c>
      <c r="C710" s="1" t="s">
        <v>1194</v>
      </c>
      <c r="D710" s="28">
        <f>SUM(E710:I710)+SUM(K710:M710)</f>
        <v>0</v>
      </c>
      <c r="E710" s="64">
        <f t="shared" ref="E710:M710" si="147">E701-E702-E703-E704-E705-E706-E707-E708-E709</f>
        <v>0</v>
      </c>
      <c r="F710" s="64">
        <f t="shared" si="147"/>
        <v>0</v>
      </c>
      <c r="G710" s="64">
        <f t="shared" si="147"/>
        <v>0</v>
      </c>
      <c r="H710" s="64">
        <f t="shared" si="147"/>
        <v>0</v>
      </c>
      <c r="I710" s="64">
        <f t="shared" si="147"/>
        <v>0</v>
      </c>
      <c r="J710" s="64">
        <f t="shared" si="147"/>
        <v>0</v>
      </c>
      <c r="K710" s="64">
        <f t="shared" si="147"/>
        <v>0</v>
      </c>
      <c r="L710" s="64">
        <f t="shared" si="147"/>
        <v>0</v>
      </c>
      <c r="M710" s="64">
        <f t="shared" si="147"/>
        <v>0</v>
      </c>
      <c r="N710" s="30"/>
      <c r="O710" s="83"/>
      <c r="P710" s="114"/>
    </row>
    <row r="711" spans="2:16" ht="57.6" x14ac:dyDescent="0.3">
      <c r="B711" s="21" t="s">
        <v>1263</v>
      </c>
      <c r="C711" s="1" t="s">
        <v>1264</v>
      </c>
      <c r="D711" s="28">
        <f t="shared" ref="D711:D712" si="148">SUM(E711:I711)+SUM(K711:M711)</f>
        <v>0</v>
      </c>
      <c r="E711" s="29"/>
      <c r="F711" s="29">
        <v>0</v>
      </c>
      <c r="G711" s="29"/>
      <c r="H711" s="29"/>
      <c r="I711" s="29"/>
      <c r="J711" s="53"/>
      <c r="K711" s="53"/>
      <c r="L711" s="53"/>
      <c r="M711" s="53"/>
      <c r="N711" s="30"/>
      <c r="O711" s="83"/>
      <c r="P711" s="114"/>
    </row>
    <row r="712" spans="2:16" x14ac:dyDescent="0.3">
      <c r="B712" s="21" t="s">
        <v>1265</v>
      </c>
      <c r="C712" s="1" t="s">
        <v>1178</v>
      </c>
      <c r="D712" s="28">
        <f t="shared" si="148"/>
        <v>0</v>
      </c>
      <c r="E712" s="29"/>
      <c r="F712" s="29">
        <v>0</v>
      </c>
      <c r="G712" s="29"/>
      <c r="H712" s="29"/>
      <c r="I712" s="29"/>
      <c r="J712" s="53"/>
      <c r="K712" s="53"/>
      <c r="L712" s="53"/>
      <c r="M712" s="53"/>
      <c r="N712" s="30"/>
      <c r="O712" s="123"/>
      <c r="P712" s="114"/>
    </row>
    <row r="713" spans="2:16" x14ac:dyDescent="0.3">
      <c r="B713" s="21" t="s">
        <v>1266</v>
      </c>
      <c r="C713" s="1" t="s">
        <v>1180</v>
      </c>
      <c r="D713" s="28">
        <f>SUM(E713:I713)+SUM(K713:M713)</f>
        <v>0</v>
      </c>
      <c r="E713" s="29"/>
      <c r="F713" s="29">
        <v>0</v>
      </c>
      <c r="G713" s="29"/>
      <c r="H713" s="29"/>
      <c r="I713" s="29"/>
      <c r="J713" s="29"/>
      <c r="K713" s="29"/>
      <c r="L713" s="29"/>
      <c r="M713" s="29"/>
      <c r="N713" s="30"/>
      <c r="O713" s="83"/>
      <c r="P713" s="114"/>
    </row>
    <row r="714" spans="2:16" x14ac:dyDescent="0.3">
      <c r="B714" s="21" t="s">
        <v>1267</v>
      </c>
      <c r="C714" s="1" t="s">
        <v>1182</v>
      </c>
      <c r="D714" s="28">
        <f>SUM(E714:I714)+SUM(K714:M714)</f>
        <v>0</v>
      </c>
      <c r="E714" s="29"/>
      <c r="F714" s="29">
        <v>0</v>
      </c>
      <c r="G714" s="29"/>
      <c r="H714" s="29"/>
      <c r="I714" s="29"/>
      <c r="J714" s="29"/>
      <c r="K714" s="29"/>
      <c r="L714" s="29"/>
      <c r="M714" s="29"/>
      <c r="N714" s="30"/>
      <c r="O714" s="83"/>
      <c r="P714" s="114"/>
    </row>
    <row r="715" spans="2:16" ht="43.2" x14ac:dyDescent="0.3">
      <c r="B715" s="21" t="s">
        <v>1268</v>
      </c>
      <c r="C715" s="1" t="s">
        <v>1184</v>
      </c>
      <c r="D715" s="28">
        <f t="shared" ref="D715:D719" si="149">SUM(E715:I715)+SUM(K715:M715)</f>
        <v>0</v>
      </c>
      <c r="E715" s="29"/>
      <c r="F715" s="29">
        <v>0</v>
      </c>
      <c r="G715" s="29"/>
      <c r="H715" s="29"/>
      <c r="I715" s="29"/>
      <c r="J715" s="53"/>
      <c r="K715" s="53"/>
      <c r="L715" s="53"/>
      <c r="M715" s="53"/>
      <c r="N715" s="30"/>
      <c r="O715" s="123"/>
      <c r="P715" s="114"/>
    </row>
    <row r="716" spans="2:16" ht="43.2" x14ac:dyDescent="0.3">
      <c r="B716" s="21" t="s">
        <v>1269</v>
      </c>
      <c r="C716" s="1" t="s">
        <v>1186</v>
      </c>
      <c r="D716" s="28">
        <f t="shared" si="149"/>
        <v>0</v>
      </c>
      <c r="E716" s="29"/>
      <c r="F716" s="29">
        <v>0</v>
      </c>
      <c r="G716" s="29"/>
      <c r="H716" s="29"/>
      <c r="I716" s="29"/>
      <c r="J716" s="53"/>
      <c r="K716" s="53"/>
      <c r="L716" s="53"/>
      <c r="M716" s="53"/>
      <c r="N716" s="30"/>
      <c r="O716" s="123"/>
      <c r="P716" s="114"/>
    </row>
    <row r="717" spans="2:16" x14ac:dyDescent="0.3">
      <c r="B717" s="21" t="s">
        <v>1270</v>
      </c>
      <c r="C717" s="1" t="s">
        <v>1188</v>
      </c>
      <c r="D717" s="28">
        <f t="shared" si="149"/>
        <v>0</v>
      </c>
      <c r="E717" s="29"/>
      <c r="F717" s="29">
        <v>0</v>
      </c>
      <c r="G717" s="29"/>
      <c r="H717" s="29"/>
      <c r="I717" s="29"/>
      <c r="J717" s="53"/>
      <c r="K717" s="53"/>
      <c r="L717" s="53"/>
      <c r="M717" s="53"/>
      <c r="N717" s="30"/>
      <c r="O717" s="123"/>
      <c r="P717" s="114"/>
    </row>
    <row r="718" spans="2:16" x14ac:dyDescent="0.3">
      <c r="B718" s="21" t="s">
        <v>1271</v>
      </c>
      <c r="C718" s="1" t="s">
        <v>1190</v>
      </c>
      <c r="D718" s="28">
        <f t="shared" si="149"/>
        <v>0</v>
      </c>
      <c r="E718" s="29"/>
      <c r="F718" s="29">
        <v>0</v>
      </c>
      <c r="G718" s="29"/>
      <c r="H718" s="29"/>
      <c r="I718" s="29"/>
      <c r="J718" s="53"/>
      <c r="K718" s="53"/>
      <c r="L718" s="53"/>
      <c r="M718" s="53"/>
      <c r="N718" s="30"/>
      <c r="O718" s="123"/>
      <c r="P718" s="114"/>
    </row>
    <row r="719" spans="2:16" x14ac:dyDescent="0.3">
      <c r="B719" s="21" t="s">
        <v>1272</v>
      </c>
      <c r="C719" s="1" t="s">
        <v>1192</v>
      </c>
      <c r="D719" s="28">
        <f t="shared" si="149"/>
        <v>0</v>
      </c>
      <c r="E719" s="29"/>
      <c r="F719" s="29">
        <v>0</v>
      </c>
      <c r="G719" s="29"/>
      <c r="H719" s="29"/>
      <c r="I719" s="29"/>
      <c r="J719" s="53"/>
      <c r="K719" s="53"/>
      <c r="L719" s="53"/>
      <c r="M719" s="53"/>
      <c r="N719" s="30"/>
      <c r="O719" s="123"/>
      <c r="P719" s="114"/>
    </row>
    <row r="720" spans="2:16" x14ac:dyDescent="0.3">
      <c r="B720" s="21" t="s">
        <v>1273</v>
      </c>
      <c r="C720" s="1" t="s">
        <v>1194</v>
      </c>
      <c r="D720" s="28">
        <f>SUM(E720:I720)+SUM(K720:M720)</f>
        <v>0</v>
      </c>
      <c r="E720" s="64">
        <f t="shared" ref="E720:M720" si="150">E711-E712-E713-E714-E715-E716-E717-E718-E719</f>
        <v>0</v>
      </c>
      <c r="F720" s="64">
        <v>0</v>
      </c>
      <c r="G720" s="64">
        <f t="shared" si="150"/>
        <v>0</v>
      </c>
      <c r="H720" s="64">
        <f t="shared" si="150"/>
        <v>0</v>
      </c>
      <c r="I720" s="64">
        <f t="shared" si="150"/>
        <v>0</v>
      </c>
      <c r="J720" s="64">
        <f t="shared" si="150"/>
        <v>0</v>
      </c>
      <c r="K720" s="64">
        <f t="shared" si="150"/>
        <v>0</v>
      </c>
      <c r="L720" s="64">
        <f t="shared" si="150"/>
        <v>0</v>
      </c>
      <c r="M720" s="64">
        <f t="shared" si="150"/>
        <v>0</v>
      </c>
      <c r="N720" s="30"/>
      <c r="O720" s="83"/>
      <c r="P720" s="114"/>
    </row>
    <row r="721" spans="2:16" ht="86.4" x14ac:dyDescent="0.3">
      <c r="B721" s="21" t="s">
        <v>1274</v>
      </c>
      <c r="C721" s="1" t="s">
        <v>1275</v>
      </c>
      <c r="D721" s="28">
        <f t="shared" ref="D721:D722" si="151">SUM(E721:I721)+SUM(K721:M721)</f>
        <v>0</v>
      </c>
      <c r="E721" s="29"/>
      <c r="F721" s="29">
        <v>0</v>
      </c>
      <c r="G721" s="29"/>
      <c r="H721" s="29"/>
      <c r="I721" s="29"/>
      <c r="J721" s="29"/>
      <c r="K721" s="29"/>
      <c r="L721" s="29"/>
      <c r="M721" s="29"/>
      <c r="N721" s="30"/>
      <c r="O721" s="83"/>
      <c r="P721" s="114"/>
    </row>
    <row r="722" spans="2:16" x14ac:dyDescent="0.3">
      <c r="B722" s="21" t="s">
        <v>1276</v>
      </c>
      <c r="C722" s="1" t="s">
        <v>1178</v>
      </c>
      <c r="D722" s="28">
        <f t="shared" si="151"/>
        <v>0</v>
      </c>
      <c r="E722" s="29"/>
      <c r="F722" s="29">
        <v>0</v>
      </c>
      <c r="G722" s="29"/>
      <c r="H722" s="29"/>
      <c r="I722" s="29"/>
      <c r="J722" s="29"/>
      <c r="K722" s="29"/>
      <c r="L722" s="29"/>
      <c r="M722" s="29"/>
      <c r="N722" s="30"/>
      <c r="O722" s="83"/>
      <c r="P722" s="114"/>
    </row>
    <row r="723" spans="2:16" x14ac:dyDescent="0.3">
      <c r="B723" s="21" t="s">
        <v>1277</v>
      </c>
      <c r="C723" s="1" t="s">
        <v>1180</v>
      </c>
      <c r="D723" s="28">
        <f>SUM(E723:I723)+SUM(K723:M723)</f>
        <v>0</v>
      </c>
      <c r="E723" s="29"/>
      <c r="F723" s="29">
        <v>0</v>
      </c>
      <c r="G723" s="29"/>
      <c r="H723" s="29"/>
      <c r="I723" s="29"/>
      <c r="J723" s="29"/>
      <c r="K723" s="29"/>
      <c r="L723" s="29"/>
      <c r="M723" s="29"/>
      <c r="N723" s="30"/>
      <c r="O723" s="83"/>
      <c r="P723" s="114"/>
    </row>
    <row r="724" spans="2:16" x14ac:dyDescent="0.3">
      <c r="B724" s="21" t="s">
        <v>1278</v>
      </c>
      <c r="C724" s="1" t="s">
        <v>1182</v>
      </c>
      <c r="D724" s="28">
        <f>SUM(E724:I724)+SUM(K724:M724)</f>
        <v>0</v>
      </c>
      <c r="E724" s="29"/>
      <c r="F724" s="29">
        <v>0</v>
      </c>
      <c r="G724" s="29"/>
      <c r="H724" s="29"/>
      <c r="I724" s="29"/>
      <c r="J724" s="29"/>
      <c r="K724" s="29"/>
      <c r="L724" s="29"/>
      <c r="M724" s="29"/>
      <c r="N724" s="30"/>
      <c r="O724" s="83"/>
      <c r="P724" s="114"/>
    </row>
    <row r="725" spans="2:16" ht="43.2" x14ac:dyDescent="0.3">
      <c r="B725" s="21" t="s">
        <v>1279</v>
      </c>
      <c r="C725" s="1" t="s">
        <v>1184</v>
      </c>
      <c r="D725" s="28">
        <f t="shared" ref="D725:D729" si="152">SUM(E725:I725)+SUM(K725:M725)</f>
        <v>0</v>
      </c>
      <c r="E725" s="29"/>
      <c r="F725" s="29">
        <v>0</v>
      </c>
      <c r="G725" s="29"/>
      <c r="H725" s="29"/>
      <c r="I725" s="29"/>
      <c r="J725" s="29"/>
      <c r="K725" s="29"/>
      <c r="L725" s="29"/>
      <c r="M725" s="29"/>
      <c r="N725" s="30"/>
      <c r="O725" s="83"/>
      <c r="P725" s="114"/>
    </row>
    <row r="726" spans="2:16" ht="43.2" x14ac:dyDescent="0.3">
      <c r="B726" s="21" t="s">
        <v>1280</v>
      </c>
      <c r="C726" s="1" t="s">
        <v>1186</v>
      </c>
      <c r="D726" s="28">
        <f t="shared" si="152"/>
        <v>0</v>
      </c>
      <c r="E726" s="29"/>
      <c r="F726" s="29">
        <v>0</v>
      </c>
      <c r="G726" s="29"/>
      <c r="H726" s="29"/>
      <c r="I726" s="29"/>
      <c r="J726" s="29"/>
      <c r="K726" s="29"/>
      <c r="L726" s="29"/>
      <c r="M726" s="29"/>
      <c r="N726" s="30"/>
      <c r="O726" s="83"/>
      <c r="P726" s="114"/>
    </row>
    <row r="727" spans="2:16" x14ac:dyDescent="0.3">
      <c r="B727" s="21" t="s">
        <v>1281</v>
      </c>
      <c r="C727" s="1" t="s">
        <v>1188</v>
      </c>
      <c r="D727" s="28">
        <f t="shared" si="152"/>
        <v>0</v>
      </c>
      <c r="E727" s="29"/>
      <c r="F727" s="29">
        <v>0</v>
      </c>
      <c r="G727" s="29"/>
      <c r="H727" s="29"/>
      <c r="I727" s="29"/>
      <c r="J727" s="29"/>
      <c r="K727" s="29"/>
      <c r="L727" s="29"/>
      <c r="M727" s="29"/>
      <c r="N727" s="30"/>
      <c r="O727" s="83"/>
      <c r="P727" s="114"/>
    </row>
    <row r="728" spans="2:16" x14ac:dyDescent="0.3">
      <c r="B728" s="21" t="s">
        <v>1282</v>
      </c>
      <c r="C728" s="1" t="s">
        <v>1190</v>
      </c>
      <c r="D728" s="28">
        <f t="shared" si="152"/>
        <v>0</v>
      </c>
      <c r="E728" s="29"/>
      <c r="F728" s="29">
        <v>0</v>
      </c>
      <c r="G728" s="29"/>
      <c r="H728" s="29"/>
      <c r="I728" s="29"/>
      <c r="J728" s="29"/>
      <c r="K728" s="29"/>
      <c r="L728" s="29"/>
      <c r="M728" s="29"/>
      <c r="N728" s="30"/>
      <c r="O728" s="83"/>
      <c r="P728" s="114"/>
    </row>
    <row r="729" spans="2:16" x14ac:dyDescent="0.3">
      <c r="B729" s="21" t="s">
        <v>1283</v>
      </c>
      <c r="C729" s="1" t="s">
        <v>1192</v>
      </c>
      <c r="D729" s="28">
        <f t="shared" si="152"/>
        <v>0</v>
      </c>
      <c r="E729" s="29"/>
      <c r="F729" s="29">
        <v>0</v>
      </c>
      <c r="G729" s="29"/>
      <c r="H729" s="29"/>
      <c r="I729" s="29"/>
      <c r="J729" s="29"/>
      <c r="K729" s="29"/>
      <c r="L729" s="29"/>
      <c r="M729" s="29"/>
      <c r="N729" s="30"/>
      <c r="O729" s="83"/>
      <c r="P729" s="114"/>
    </row>
    <row r="730" spans="2:16" x14ac:dyDescent="0.3">
      <c r="B730" s="21" t="s">
        <v>1284</v>
      </c>
      <c r="C730" s="1" t="s">
        <v>1194</v>
      </c>
      <c r="D730" s="28">
        <f>SUM(E730:I730)+SUM(K730:M730)</f>
        <v>0</v>
      </c>
      <c r="E730" s="64">
        <f t="shared" ref="E730:M730" si="153">E721-E722-E723-E724-E725-E726-E727-E728-E729</f>
        <v>0</v>
      </c>
      <c r="F730" s="64">
        <f t="shared" si="153"/>
        <v>0</v>
      </c>
      <c r="G730" s="64">
        <f t="shared" si="153"/>
        <v>0</v>
      </c>
      <c r="H730" s="64">
        <f t="shared" si="153"/>
        <v>0</v>
      </c>
      <c r="I730" s="64">
        <f t="shared" si="153"/>
        <v>0</v>
      </c>
      <c r="J730" s="64">
        <f t="shared" si="153"/>
        <v>0</v>
      </c>
      <c r="K730" s="64">
        <f t="shared" si="153"/>
        <v>0</v>
      </c>
      <c r="L730" s="64">
        <f t="shared" si="153"/>
        <v>0</v>
      </c>
      <c r="M730" s="64">
        <f t="shared" si="153"/>
        <v>0</v>
      </c>
      <c r="N730" s="30"/>
      <c r="O730" s="83"/>
      <c r="P730" s="114"/>
    </row>
    <row r="731" spans="2:16" ht="100.8" x14ac:dyDescent="0.3">
      <c r="B731" s="21" t="s">
        <v>1285</v>
      </c>
      <c r="C731" s="1" t="s">
        <v>1286</v>
      </c>
      <c r="D731" s="28">
        <f t="shared" ref="D731:D732" si="154">SUM(E731:I731)+SUM(K731:M731)</f>
        <v>0</v>
      </c>
      <c r="E731" s="29"/>
      <c r="F731" s="29">
        <v>0</v>
      </c>
      <c r="G731" s="29"/>
      <c r="H731" s="29"/>
      <c r="I731" s="29"/>
      <c r="J731" s="53"/>
      <c r="K731" s="53"/>
      <c r="L731" s="53"/>
      <c r="M731" s="53"/>
      <c r="N731" s="30"/>
      <c r="O731" s="83"/>
      <c r="P731" s="114"/>
    </row>
    <row r="732" spans="2:16" x14ac:dyDescent="0.3">
      <c r="B732" s="21" t="s">
        <v>1287</v>
      </c>
      <c r="C732" s="1" t="s">
        <v>1178</v>
      </c>
      <c r="D732" s="28">
        <f t="shared" si="154"/>
        <v>0</v>
      </c>
      <c r="E732" s="29"/>
      <c r="F732" s="29">
        <v>0</v>
      </c>
      <c r="G732" s="29"/>
      <c r="H732" s="29"/>
      <c r="I732" s="29"/>
      <c r="J732" s="53"/>
      <c r="K732" s="53"/>
      <c r="L732" s="53"/>
      <c r="M732" s="53"/>
      <c r="N732" s="30"/>
      <c r="O732" s="123"/>
      <c r="P732" s="114"/>
    </row>
    <row r="733" spans="2:16" x14ac:dyDescent="0.3">
      <c r="B733" s="21" t="s">
        <v>1288</v>
      </c>
      <c r="C733" s="1" t="s">
        <v>1180</v>
      </c>
      <c r="D733" s="28">
        <f>SUM(E733:I733)+SUM(K733:M733)</f>
        <v>0</v>
      </c>
      <c r="E733" s="29"/>
      <c r="F733" s="29">
        <v>0</v>
      </c>
      <c r="G733" s="29"/>
      <c r="H733" s="29"/>
      <c r="I733" s="29"/>
      <c r="J733" s="29"/>
      <c r="K733" s="29"/>
      <c r="L733" s="29"/>
      <c r="M733" s="29"/>
      <c r="N733" s="30"/>
      <c r="O733" s="83"/>
      <c r="P733" s="114"/>
    </row>
    <row r="734" spans="2:16" x14ac:dyDescent="0.3">
      <c r="B734" s="21" t="s">
        <v>1289</v>
      </c>
      <c r="C734" s="1" t="s">
        <v>1182</v>
      </c>
      <c r="D734" s="28">
        <f>SUM(E734:I734)+SUM(K734:M734)</f>
        <v>0</v>
      </c>
      <c r="E734" s="29"/>
      <c r="F734" s="29">
        <v>0</v>
      </c>
      <c r="G734" s="29"/>
      <c r="H734" s="29"/>
      <c r="I734" s="29"/>
      <c r="J734" s="29"/>
      <c r="K734" s="29"/>
      <c r="L734" s="29"/>
      <c r="M734" s="29"/>
      <c r="N734" s="30"/>
      <c r="O734" s="83"/>
      <c r="P734" s="114"/>
    </row>
    <row r="735" spans="2:16" ht="43.2" x14ac:dyDescent="0.3">
      <c r="B735" s="21" t="s">
        <v>1290</v>
      </c>
      <c r="C735" s="1" t="s">
        <v>1184</v>
      </c>
      <c r="D735" s="28">
        <f t="shared" ref="D735:D739" si="155">SUM(E735:I735)+SUM(K735:M735)</f>
        <v>0</v>
      </c>
      <c r="E735" s="29"/>
      <c r="F735" s="29">
        <v>0</v>
      </c>
      <c r="G735" s="29"/>
      <c r="H735" s="29"/>
      <c r="I735" s="29"/>
      <c r="J735" s="53"/>
      <c r="K735" s="53"/>
      <c r="L735" s="53"/>
      <c r="M735" s="53"/>
      <c r="N735" s="30"/>
      <c r="O735" s="123"/>
      <c r="P735" s="114"/>
    </row>
    <row r="736" spans="2:16" ht="43.2" x14ac:dyDescent="0.3">
      <c r="B736" s="21" t="s">
        <v>1291</v>
      </c>
      <c r="C736" s="1" t="s">
        <v>1186</v>
      </c>
      <c r="D736" s="28">
        <f t="shared" si="155"/>
        <v>0</v>
      </c>
      <c r="E736" s="29"/>
      <c r="F736" s="29">
        <v>0</v>
      </c>
      <c r="G736" s="29"/>
      <c r="H736" s="29"/>
      <c r="I736" s="29"/>
      <c r="J736" s="53"/>
      <c r="K736" s="53"/>
      <c r="L736" s="53"/>
      <c r="M736" s="53"/>
      <c r="N736" s="30"/>
      <c r="O736" s="123"/>
      <c r="P736" s="114"/>
    </row>
    <row r="737" spans="2:16" x14ac:dyDescent="0.3">
      <c r="B737" s="21" t="s">
        <v>1292</v>
      </c>
      <c r="C737" s="1" t="s">
        <v>1188</v>
      </c>
      <c r="D737" s="28">
        <f t="shared" si="155"/>
        <v>0</v>
      </c>
      <c r="E737" s="29"/>
      <c r="F737" s="29">
        <v>0</v>
      </c>
      <c r="G737" s="29"/>
      <c r="H737" s="29"/>
      <c r="I737" s="29"/>
      <c r="J737" s="53"/>
      <c r="K737" s="53"/>
      <c r="L737" s="53"/>
      <c r="M737" s="53"/>
      <c r="N737" s="30"/>
      <c r="O737" s="123"/>
      <c r="P737" s="114"/>
    </row>
    <row r="738" spans="2:16" x14ac:dyDescent="0.3">
      <c r="B738" s="21" t="s">
        <v>1293</v>
      </c>
      <c r="C738" s="1" t="s">
        <v>1190</v>
      </c>
      <c r="D738" s="28">
        <f t="shared" si="155"/>
        <v>0</v>
      </c>
      <c r="E738" s="29"/>
      <c r="F738" s="29">
        <v>0</v>
      </c>
      <c r="G738" s="29"/>
      <c r="H738" s="29"/>
      <c r="I738" s="29"/>
      <c r="J738" s="53"/>
      <c r="K738" s="53"/>
      <c r="L738" s="53"/>
      <c r="M738" s="53"/>
      <c r="N738" s="30"/>
      <c r="O738" s="123"/>
      <c r="P738" s="114"/>
    </row>
    <row r="739" spans="2:16" x14ac:dyDescent="0.3">
      <c r="B739" s="21" t="s">
        <v>1294</v>
      </c>
      <c r="C739" s="1" t="s">
        <v>1192</v>
      </c>
      <c r="D739" s="28">
        <f t="shared" si="155"/>
        <v>0</v>
      </c>
      <c r="E739" s="29"/>
      <c r="F739" s="29">
        <v>0</v>
      </c>
      <c r="G739" s="29"/>
      <c r="H739" s="29"/>
      <c r="I739" s="29"/>
      <c r="J739" s="53"/>
      <c r="K739" s="53"/>
      <c r="L739" s="53"/>
      <c r="M739" s="53"/>
      <c r="N739" s="30"/>
      <c r="O739" s="123"/>
      <c r="P739" s="114"/>
    </row>
    <row r="740" spans="2:16" x14ac:dyDescent="0.3">
      <c r="B740" s="21" t="s">
        <v>1295</v>
      </c>
      <c r="C740" s="1" t="s">
        <v>1194</v>
      </c>
      <c r="D740" s="28">
        <f>SUM(E740:I740)+SUM(K740:M740)</f>
        <v>0</v>
      </c>
      <c r="E740" s="64">
        <f t="shared" ref="E740:M740" si="156">E731-E732-E733-E734-E735-E736-E737-E738-E739</f>
        <v>0</v>
      </c>
      <c r="F740" s="64">
        <v>0</v>
      </c>
      <c r="G740" s="64">
        <f t="shared" si="156"/>
        <v>0</v>
      </c>
      <c r="H740" s="64">
        <f t="shared" si="156"/>
        <v>0</v>
      </c>
      <c r="I740" s="64">
        <f t="shared" si="156"/>
        <v>0</v>
      </c>
      <c r="J740" s="64">
        <f t="shared" si="156"/>
        <v>0</v>
      </c>
      <c r="K740" s="64">
        <f t="shared" si="156"/>
        <v>0</v>
      </c>
      <c r="L740" s="64">
        <f t="shared" si="156"/>
        <v>0</v>
      </c>
      <c r="M740" s="64">
        <f t="shared" si="156"/>
        <v>0</v>
      </c>
      <c r="N740" s="30"/>
      <c r="O740" s="83"/>
      <c r="P740" s="114"/>
    </row>
    <row r="741" spans="2:16" hidden="1" x14ac:dyDescent="0.3">
      <c r="B741" s="93" t="s">
        <v>1296</v>
      </c>
      <c r="C741" s="22" t="s">
        <v>1297</v>
      </c>
      <c r="D741" s="23"/>
      <c r="E741" s="24"/>
      <c r="F741" s="24"/>
      <c r="G741" s="24"/>
      <c r="H741" s="24"/>
      <c r="I741" s="24"/>
      <c r="J741" s="24"/>
      <c r="K741" s="24"/>
      <c r="L741" s="24"/>
      <c r="M741" s="24"/>
      <c r="N741" s="50"/>
      <c r="O741" s="25"/>
      <c r="P741" s="52"/>
    </row>
    <row r="742" spans="2:16" ht="43.2" hidden="1" x14ac:dyDescent="0.3">
      <c r="B742" s="82" t="s">
        <v>1298</v>
      </c>
      <c r="C742" s="1" t="s">
        <v>1299</v>
      </c>
      <c r="D742" s="28">
        <f t="shared" ref="D742:D748" si="157">SUM(E742:I742)+SUM(K742:M742)</f>
        <v>0</v>
      </c>
      <c r="E742" s="53"/>
      <c r="F742" s="53"/>
      <c r="G742" s="53"/>
      <c r="H742" s="53"/>
      <c r="I742" s="53"/>
      <c r="J742" s="29"/>
      <c r="K742" s="53"/>
      <c r="L742" s="53"/>
      <c r="M742" s="53"/>
      <c r="N742" s="31" t="str">
        <f>IF((D742&lt;=D$10)*AND(E742&lt;=E$10)*AND(F742&lt;=F$10)*AND(G742&lt;=G$10)*AND(H742&lt;=H$10)*AND(I742&lt;=I$10)*AND(K742&lt;=K$10)*AND(L742&lt;=L$10)*AND(M742&lt;=M$10)*AND(J742&lt;=J$10),"Выполнено","ПРОВЕРИТЬ (таких муниципальных образований не может быть больше их общего числа)")</f>
        <v>Выполнено</v>
      </c>
      <c r="O742" s="83"/>
      <c r="P742" s="114"/>
    </row>
    <row r="743" spans="2:16" hidden="1" x14ac:dyDescent="0.3">
      <c r="B743" s="82" t="s">
        <v>1300</v>
      </c>
      <c r="C743" s="1" t="s">
        <v>1301</v>
      </c>
      <c r="D743" s="28">
        <f t="shared" si="157"/>
        <v>0</v>
      </c>
      <c r="E743" s="53"/>
      <c r="F743" s="53"/>
      <c r="G743" s="53"/>
      <c r="H743" s="53"/>
      <c r="I743" s="53"/>
      <c r="J743" s="29"/>
      <c r="K743" s="53"/>
      <c r="L743" s="53"/>
      <c r="M743" s="53"/>
      <c r="N743" s="31" t="str">
        <f>IF((D743&lt;=D742)*AND(E743&lt;=E742)*AND(F743&lt;=F742)*AND(G743&lt;=G742)*AND(H743&lt;=H742)*AND(I743&lt;=I742)*AND(K743&lt;=K742)*AND(L743&lt;=L742)*AND(M743&lt;=M742)*AND(J743&lt;=J742),"Выполнено","ПРОВЕРИТЬ (эта подстрока не может быть больше 25.2)
)")</f>
        <v>Выполнено</v>
      </c>
      <c r="O743" s="83"/>
      <c r="P743" s="114"/>
    </row>
    <row r="744" spans="2:16" ht="28.8" hidden="1" x14ac:dyDescent="0.3">
      <c r="B744" s="33" t="s">
        <v>1302</v>
      </c>
      <c r="C744" s="34" t="s">
        <v>1303</v>
      </c>
      <c r="D744" s="28">
        <f t="shared" si="157"/>
        <v>0</v>
      </c>
      <c r="E744" s="49"/>
      <c r="F744" s="49"/>
      <c r="G744" s="49"/>
      <c r="H744" s="49"/>
      <c r="I744" s="49"/>
      <c r="J744" s="49"/>
      <c r="K744" s="49"/>
      <c r="L744" s="49"/>
      <c r="M744" s="49"/>
      <c r="N744" s="31" t="str">
        <f>IF((D744&lt;=D742)*AND(E744&lt;=E742)*AND(F744&lt;=F742)*AND(G744&lt;=G742)*AND(H744&lt;=H742)*AND(I744&lt;=I742)*AND(K744&lt;=K742)*AND(L744&lt;=L742)*AND(M744&lt;=M742)*AND(J744&lt;=J742)*AND(D744&lt;=D638)*AND(E744&lt;=E638)*AND(F744&lt;=F638)*AND(G744&lt;=G638)*AND(H744&lt;=H638)*AND(I744&lt;=I638)*AND(K744&lt;=K638)*AND(L744&lt;=L638)*AND(M744&lt;=M638)*AND(J744&lt;=J638),"Выполнено","ПРОВЕРИТЬ (эта подстрока не может быть больше 25.2 или 24.2.3.)
)")</f>
        <v>Выполнено</v>
      </c>
      <c r="O744" s="31" t="str">
        <f>IF(((D744=0)),"   ","Нужно заполнить пункт 60 текстовой части - об участии муниципалитетов в некоммерческих организациях")</f>
        <v xml:space="preserve">   </v>
      </c>
      <c r="P744" s="52"/>
    </row>
    <row r="745" spans="2:16" hidden="1" x14ac:dyDescent="0.3">
      <c r="B745" s="33" t="s">
        <v>1304</v>
      </c>
      <c r="C745" s="34" t="s">
        <v>1305</v>
      </c>
      <c r="D745" s="28">
        <f t="shared" si="157"/>
        <v>0</v>
      </c>
      <c r="E745" s="49"/>
      <c r="F745" s="49"/>
      <c r="G745" s="49"/>
      <c r="H745" s="49"/>
      <c r="I745" s="49"/>
      <c r="J745" s="49"/>
      <c r="K745" s="49"/>
      <c r="L745" s="49"/>
      <c r="M745" s="49"/>
      <c r="N745" s="31" t="str">
        <f>IF((D745&lt;=D742)*AND(E745&lt;=E742)*AND(F745&lt;=F742)*AND(G745&lt;=G742)*AND(H745&lt;=H742)*AND(I745&lt;=I742)*AND(K745&lt;=K742)*AND(L745&lt;=L742)*AND(M745&lt;=M742)*AND(J745&lt;=J742)*AND(D745&lt;=D636)*AND(E745&lt;=E636)*AND(F745&lt;=F636)*AND(G745&lt;=G636)*AND(H745&lt;=H636)*AND(I745&lt;=I636)*AND(K745&lt;=K636)*AND(L745&lt;=L636)*AND(M745&lt;=M636)*AND(J745&lt;=J636),"Выполнено","ПРОВЕРИТЬ (эта подстрока не может быть больше 25.2 или 24.2.1.)
)")</f>
        <v>Выполнено</v>
      </c>
      <c r="O745" s="31" t="str">
        <f>IF(((D745=0)),"   ","Нужно заполнить пункт 60 текстовой части - об участии в межмуниципальных хозяйственных организациях")</f>
        <v xml:space="preserve">   </v>
      </c>
      <c r="P745" s="114"/>
    </row>
    <row r="746" spans="2:16" ht="28.8" hidden="1" x14ac:dyDescent="0.3">
      <c r="B746" s="82" t="s">
        <v>1306</v>
      </c>
      <c r="C746" s="1" t="s">
        <v>1307</v>
      </c>
      <c r="D746" s="28">
        <f t="shared" si="157"/>
        <v>19</v>
      </c>
      <c r="E746" s="64">
        <f t="shared" ref="E746:M746" si="158">E10-E742</f>
        <v>1</v>
      </c>
      <c r="F746" s="64">
        <f t="shared" si="158"/>
        <v>4</v>
      </c>
      <c r="G746" s="64">
        <f t="shared" si="158"/>
        <v>14</v>
      </c>
      <c r="H746" s="64">
        <f t="shared" si="158"/>
        <v>0</v>
      </c>
      <c r="I746" s="64">
        <f t="shared" si="158"/>
        <v>0</v>
      </c>
      <c r="J746" s="64">
        <f t="shared" si="158"/>
        <v>0</v>
      </c>
      <c r="K746" s="64">
        <f t="shared" si="158"/>
        <v>0</v>
      </c>
      <c r="L746" s="64">
        <f t="shared" si="158"/>
        <v>0</v>
      </c>
      <c r="M746" s="64">
        <f t="shared" si="158"/>
        <v>0</v>
      </c>
      <c r="N746" s="83"/>
      <c r="O746" s="83"/>
      <c r="P746" s="114"/>
    </row>
    <row r="747" spans="2:16" ht="57.6" hidden="1" x14ac:dyDescent="0.3">
      <c r="B747" s="33" t="s">
        <v>1308</v>
      </c>
      <c r="C747" s="34" t="s">
        <v>1309</v>
      </c>
      <c r="D747" s="28">
        <f t="shared" si="157"/>
        <v>0</v>
      </c>
      <c r="E747" s="49"/>
      <c r="F747" s="49"/>
      <c r="G747" s="49"/>
      <c r="H747" s="49"/>
      <c r="I747" s="49"/>
      <c r="J747" s="49"/>
      <c r="K747" s="49"/>
      <c r="L747" s="49"/>
      <c r="M747" s="49"/>
      <c r="N747" s="31" t="str">
        <f>IF((D747&lt;=D$10)*AND(E747&lt;=E$10)*AND(F747&lt;=F$10)*AND(G747&lt;=G$10)*AND(H747&lt;=H$10)*AND(I747&lt;=I$10)*AND(K747&lt;=K$10)*AND(L747&lt;=L$10)*AND(M747&lt;=M$10)*AND(J747&lt;=J$10),"Выполнено","ПРОВЕРИТЬ (таких муниципальных образований не может быть больше их общего числа)")</f>
        <v>Выполнено</v>
      </c>
      <c r="O747" s="31" t="str">
        <f>IF(((D747=0)),"   ","Нужно заполнить пункт 61 текстовой части - о двустороннем сотрудничестве муниципалитетов в пределах Российской Федерации")</f>
        <v xml:space="preserve">   </v>
      </c>
      <c r="P747" s="114"/>
    </row>
    <row r="748" spans="2:16" ht="57.6" hidden="1" x14ac:dyDescent="0.3">
      <c r="B748" s="33" t="s">
        <v>1310</v>
      </c>
      <c r="C748" s="34" t="s">
        <v>1311</v>
      </c>
      <c r="D748" s="28">
        <f t="shared" si="157"/>
        <v>0</v>
      </c>
      <c r="E748" s="49"/>
      <c r="F748" s="49"/>
      <c r="G748" s="49"/>
      <c r="H748" s="49"/>
      <c r="I748" s="49"/>
      <c r="J748" s="49"/>
      <c r="K748" s="49"/>
      <c r="L748" s="49"/>
      <c r="M748" s="49"/>
      <c r="N748" s="31" t="str">
        <f>IF((D748&lt;=D$10)*AND(E748&lt;=E$10)*AND(F748&lt;=F$10)*AND(G748&lt;=G$10)*AND(H748&lt;=H$10)*AND(I748&lt;=I$10)*AND(K748&lt;=K$10)*AND(L748&lt;=L$10)*AND(M748&lt;=M$10)*AND(J748&lt;=J$10),"Выполнено","ПРОВЕРИТЬ (таких муниципальных образований не может быть больше их общего числа)")</f>
        <v>Выполнено</v>
      </c>
      <c r="O748" s="31" t="str">
        <f>IF(((D748=0)),"   ","Нужно заполнить пункт 61 текстовой части - о сотрудничестве с зарубежными муниципалитетами")</f>
        <v xml:space="preserve">   </v>
      </c>
      <c r="P748" s="52"/>
    </row>
    <row r="749" spans="2:16" ht="43.2" hidden="1" x14ac:dyDescent="0.3">
      <c r="B749" s="21" t="s">
        <v>1312</v>
      </c>
      <c r="C749" s="1" t="s">
        <v>1313</v>
      </c>
      <c r="D749" s="28">
        <f>SUM(E749:I749)+SUM(K749:M749)</f>
        <v>0</v>
      </c>
      <c r="E749" s="29"/>
      <c r="F749" s="29"/>
      <c r="G749" s="29"/>
      <c r="H749" s="29"/>
      <c r="I749" s="29"/>
      <c r="J749" s="29"/>
      <c r="K749" s="29"/>
      <c r="L749" s="29"/>
      <c r="M749" s="29"/>
      <c r="N749" s="31"/>
      <c r="O749" s="30"/>
      <c r="P749" s="52"/>
    </row>
    <row r="750" spans="2:16" ht="28.8" x14ac:dyDescent="0.3">
      <c r="B750" s="93" t="s">
        <v>1314</v>
      </c>
      <c r="C750" s="22" t="s">
        <v>1315</v>
      </c>
      <c r="D750" s="23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5"/>
      <c r="P750" s="52"/>
    </row>
    <row r="751" spans="2:16" ht="28.8" x14ac:dyDescent="0.3">
      <c r="B751" s="33" t="s">
        <v>1316</v>
      </c>
      <c r="C751" s="34" t="s">
        <v>1317</v>
      </c>
      <c r="D751" s="28">
        <f t="shared" ref="D751:D762" si="159">SUM(E751:I751)+SUM(K751:M751)</f>
        <v>0</v>
      </c>
      <c r="E751" s="49"/>
      <c r="F751" s="49">
        <v>0</v>
      </c>
      <c r="G751" s="49"/>
      <c r="H751" s="49"/>
      <c r="I751" s="49"/>
      <c r="J751" s="49"/>
      <c r="K751" s="49"/>
      <c r="L751" s="49"/>
      <c r="M751" s="49"/>
      <c r="N751" s="31" t="str">
        <f>IF((D751&lt;=D151)*AND(E751&lt;=E151)*AND(F751&lt;=F151)*AND(G751&lt;=G151)*AND(H751&lt;=H151)*AND(I751&lt;=I151)*AND(K751&lt;=K151)*AND(L751&lt;=L151)*AND(M751&lt;=M151)*AND(J751&lt;=J151),"Выполнено","ПРОВЕРИТЬ (таких муниципальных образований не может быть больше числа муниципалитетов - участников бюджетных правоотношений в 2021 г.)")</f>
        <v>Выполнено</v>
      </c>
      <c r="O751" s="31" t="str">
        <f>IF(((D751-F751-G751=0)),"   ","Нужно заполнить пункт 62 текстовой части - самообложение и инициативное бюджетирование")</f>
        <v xml:space="preserve">   </v>
      </c>
      <c r="P751" s="52"/>
    </row>
    <row r="752" spans="2:16" x14ac:dyDescent="0.3">
      <c r="B752" s="21" t="s">
        <v>1318</v>
      </c>
      <c r="C752" s="1" t="s">
        <v>1319</v>
      </c>
      <c r="D752" s="28">
        <f t="shared" si="159"/>
        <v>0</v>
      </c>
      <c r="E752" s="29"/>
      <c r="F752" s="149"/>
      <c r="G752" s="149"/>
      <c r="H752" s="86"/>
      <c r="I752" s="29"/>
      <c r="J752" s="29"/>
      <c r="K752" s="29"/>
      <c r="L752" s="29"/>
      <c r="M752" s="29"/>
      <c r="N752" s="83"/>
      <c r="O752" s="83"/>
      <c r="P752" s="52"/>
    </row>
    <row r="753" spans="2:16" ht="72" x14ac:dyDescent="0.3">
      <c r="B753" s="33" t="s">
        <v>1320</v>
      </c>
      <c r="C753" s="34" t="s">
        <v>1321</v>
      </c>
      <c r="D753" s="28">
        <f t="shared" si="159"/>
        <v>1</v>
      </c>
      <c r="E753" s="49"/>
      <c r="F753" s="84">
        <v>1</v>
      </c>
      <c r="G753" s="84"/>
      <c r="H753" s="84"/>
      <c r="I753" s="49"/>
      <c r="J753" s="49"/>
      <c r="K753" s="49"/>
      <c r="L753" s="49"/>
      <c r="M753" s="49"/>
      <c r="N753" s="31" t="str">
        <f>IF((D753&lt;=D151)*AND(E753&lt;=E151)*AND(F753&lt;=F151)*AND(G753&lt;=G151)*AND(H753&lt;=H151)*AND(I753&lt;=I151)*AND(K753&lt;=K151)*AND(L753&lt;=L151)*AND(M753&lt;=M151)*AND(J753&lt;=J151),"Выполнено","ПРОВЕРИТЬ (таких муниципальных образований не может быть больше числа муниципалитетов - участников бюджетных правоотношений в 2021 г.)")</f>
        <v>Выполнено</v>
      </c>
      <c r="O753" s="31" t="str">
        <f>IF(((D753-F753-G753=0)),"   ","Нужно заполнить пункт 62 текстовой части - самообложение и инициативное бюджетирование")</f>
        <v xml:space="preserve">   </v>
      </c>
      <c r="P753" s="52"/>
    </row>
    <row r="754" spans="2:16" ht="28.8" x14ac:dyDescent="0.3">
      <c r="B754" s="21" t="s">
        <v>1322</v>
      </c>
      <c r="C754" s="1" t="s">
        <v>1323</v>
      </c>
      <c r="D754" s="28">
        <f t="shared" si="159"/>
        <v>69279.259999999995</v>
      </c>
      <c r="E754" s="29"/>
      <c r="F754" s="149">
        <v>69279.259999999995</v>
      </c>
      <c r="G754" s="149"/>
      <c r="H754" s="149"/>
      <c r="I754" s="29"/>
      <c r="J754" s="29"/>
      <c r="K754" s="29"/>
      <c r="L754" s="29"/>
      <c r="M754" s="29"/>
      <c r="N754" s="83"/>
      <c r="O754" s="83"/>
      <c r="P754" s="52"/>
    </row>
    <row r="755" spans="2:16" ht="28.8" x14ac:dyDescent="0.3">
      <c r="B755" s="21" t="s">
        <v>1324</v>
      </c>
      <c r="C755" s="1" t="s">
        <v>1325</v>
      </c>
      <c r="D755" s="28">
        <f t="shared" si="159"/>
        <v>1</v>
      </c>
      <c r="E755" s="64">
        <f t="shared" ref="E755:M755" si="160">SUM(E756:E762)</f>
        <v>0</v>
      </c>
      <c r="F755" s="64">
        <v>1</v>
      </c>
      <c r="G755" s="64">
        <f t="shared" si="160"/>
        <v>0</v>
      </c>
      <c r="H755" s="64">
        <f t="shared" si="160"/>
        <v>0</v>
      </c>
      <c r="I755" s="64">
        <f t="shared" si="160"/>
        <v>0</v>
      </c>
      <c r="J755" s="64">
        <f t="shared" si="160"/>
        <v>0</v>
      </c>
      <c r="K755" s="64">
        <f t="shared" si="160"/>
        <v>0</v>
      </c>
      <c r="L755" s="64">
        <f t="shared" si="160"/>
        <v>0</v>
      </c>
      <c r="M755" s="64">
        <f t="shared" si="160"/>
        <v>0</v>
      </c>
      <c r="N755" s="83"/>
      <c r="O755" s="123"/>
      <c r="P755" s="52"/>
    </row>
    <row r="756" spans="2:16" ht="28.8" x14ac:dyDescent="0.3">
      <c r="B756" s="21" t="s">
        <v>1326</v>
      </c>
      <c r="C756" s="1" t="s">
        <v>1327</v>
      </c>
      <c r="D756" s="28">
        <f t="shared" si="159"/>
        <v>0</v>
      </c>
      <c r="E756" s="29"/>
      <c r="F756" s="149"/>
      <c r="G756" s="149"/>
      <c r="H756" s="149"/>
      <c r="I756" s="29"/>
      <c r="J756" s="29"/>
      <c r="K756" s="29"/>
      <c r="L756" s="29"/>
      <c r="M756" s="29"/>
      <c r="N756" s="83"/>
      <c r="O756" s="123"/>
      <c r="P756" s="52"/>
    </row>
    <row r="757" spans="2:16" ht="28.8" x14ac:dyDescent="0.3">
      <c r="B757" s="21" t="s">
        <v>1328</v>
      </c>
      <c r="C757" s="1" t="s">
        <v>1329</v>
      </c>
      <c r="D757" s="28">
        <f t="shared" si="159"/>
        <v>0</v>
      </c>
      <c r="E757" s="29"/>
      <c r="F757" s="149"/>
      <c r="G757" s="149"/>
      <c r="H757" s="149"/>
      <c r="I757" s="29"/>
      <c r="J757" s="29"/>
      <c r="K757" s="29"/>
      <c r="L757" s="29"/>
      <c r="M757" s="29"/>
      <c r="N757" s="83"/>
      <c r="O757" s="123"/>
      <c r="P757" s="52"/>
    </row>
    <row r="758" spans="2:16" x14ac:dyDescent="0.3">
      <c r="B758" s="21" t="s">
        <v>1330</v>
      </c>
      <c r="C758" s="1" t="s">
        <v>1331</v>
      </c>
      <c r="D758" s="28">
        <f t="shared" si="159"/>
        <v>0</v>
      </c>
      <c r="E758" s="29"/>
      <c r="F758" s="149"/>
      <c r="G758" s="149"/>
      <c r="H758" s="149"/>
      <c r="I758" s="29"/>
      <c r="J758" s="29"/>
      <c r="K758" s="29"/>
      <c r="L758" s="29"/>
      <c r="M758" s="29"/>
      <c r="N758" s="83"/>
      <c r="O758" s="123"/>
      <c r="P758" s="52"/>
    </row>
    <row r="759" spans="2:16" x14ac:dyDescent="0.3">
      <c r="B759" s="21" t="s">
        <v>1332</v>
      </c>
      <c r="C759" s="1" t="s">
        <v>1333</v>
      </c>
      <c r="D759" s="28">
        <f t="shared" si="159"/>
        <v>0</v>
      </c>
      <c r="E759" s="29"/>
      <c r="F759" s="149"/>
      <c r="G759" s="149"/>
      <c r="H759" s="149"/>
      <c r="I759" s="29"/>
      <c r="J759" s="29"/>
      <c r="K759" s="29"/>
      <c r="L759" s="29"/>
      <c r="M759" s="29"/>
      <c r="N759" s="83"/>
      <c r="O759" s="123"/>
      <c r="P759" s="52"/>
    </row>
    <row r="760" spans="2:16" ht="28.8" x14ac:dyDescent="0.3">
      <c r="B760" s="21" t="s">
        <v>1334</v>
      </c>
      <c r="C760" s="1" t="s">
        <v>1335</v>
      </c>
      <c r="D760" s="28">
        <f t="shared" si="159"/>
        <v>0</v>
      </c>
      <c r="E760" s="29"/>
      <c r="F760" s="149"/>
      <c r="G760" s="149"/>
      <c r="H760" s="149"/>
      <c r="I760" s="29"/>
      <c r="J760" s="29"/>
      <c r="K760" s="29"/>
      <c r="L760" s="29"/>
      <c r="M760" s="29"/>
      <c r="N760" s="83"/>
      <c r="O760" s="123"/>
      <c r="P760" s="52"/>
    </row>
    <row r="761" spans="2:16" ht="28.8" x14ac:dyDescent="0.3">
      <c r="B761" s="21" t="s">
        <v>1336</v>
      </c>
      <c r="C761" s="1" t="s">
        <v>1337</v>
      </c>
      <c r="D761" s="28">
        <f t="shared" si="159"/>
        <v>0</v>
      </c>
      <c r="E761" s="29"/>
      <c r="F761" s="149"/>
      <c r="G761" s="149"/>
      <c r="H761" s="149"/>
      <c r="I761" s="29"/>
      <c r="J761" s="29"/>
      <c r="K761" s="29"/>
      <c r="L761" s="29"/>
      <c r="M761" s="29"/>
      <c r="N761" s="83"/>
      <c r="O761" s="123"/>
      <c r="P761" s="52"/>
    </row>
    <row r="762" spans="2:16" x14ac:dyDescent="0.3">
      <c r="B762" s="21" t="s">
        <v>1338</v>
      </c>
      <c r="C762" s="1" t="s">
        <v>1339</v>
      </c>
      <c r="D762" s="28">
        <f t="shared" si="159"/>
        <v>1</v>
      </c>
      <c r="E762" s="29"/>
      <c r="F762" s="149">
        <v>1</v>
      </c>
      <c r="G762" s="149"/>
      <c r="H762" s="149"/>
      <c r="I762" s="29"/>
      <c r="J762" s="29"/>
      <c r="K762" s="29"/>
      <c r="L762" s="29"/>
      <c r="M762" s="29"/>
      <c r="N762" s="83"/>
      <c r="O762" s="123"/>
      <c r="P762" s="52"/>
    </row>
    <row r="763" spans="2:16" ht="28.8" x14ac:dyDescent="0.3">
      <c r="B763" s="47" t="s">
        <v>1340</v>
      </c>
      <c r="C763" s="22" t="s">
        <v>1341</v>
      </c>
      <c r="D763" s="23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5"/>
      <c r="P763" s="52"/>
    </row>
    <row r="764" spans="2:16" ht="28.8" x14ac:dyDescent="0.3">
      <c r="B764" s="21" t="s">
        <v>1342</v>
      </c>
      <c r="C764" s="1" t="s">
        <v>1343</v>
      </c>
      <c r="D764" s="28">
        <f t="shared" ref="D764:D778" si="161">SUM(E764:I764)+SUM(K764:M764)</f>
        <v>0</v>
      </c>
      <c r="E764" s="50">
        <f t="shared" ref="E764:M764" si="162">SUM(E765:E769)</f>
        <v>0</v>
      </c>
      <c r="F764" s="50">
        <f t="shared" si="162"/>
        <v>0</v>
      </c>
      <c r="G764" s="50">
        <f t="shared" si="162"/>
        <v>0</v>
      </c>
      <c r="H764" s="50">
        <f t="shared" si="162"/>
        <v>0</v>
      </c>
      <c r="I764" s="50">
        <f t="shared" si="162"/>
        <v>0</v>
      </c>
      <c r="J764" s="50">
        <f>SUM(J765:J769)</f>
        <v>0</v>
      </c>
      <c r="K764" s="50">
        <f t="shared" si="162"/>
        <v>0</v>
      </c>
      <c r="L764" s="50">
        <f t="shared" si="162"/>
        <v>0</v>
      </c>
      <c r="M764" s="50">
        <f t="shared" si="162"/>
        <v>0</v>
      </c>
      <c r="N764" s="83"/>
      <c r="O764" s="83"/>
      <c r="P764" s="52"/>
    </row>
    <row r="765" spans="2:16" x14ac:dyDescent="0.3">
      <c r="B765" s="21" t="s">
        <v>1344</v>
      </c>
      <c r="C765" s="1" t="s">
        <v>1345</v>
      </c>
      <c r="D765" s="28">
        <f t="shared" si="161"/>
        <v>0</v>
      </c>
      <c r="E765" s="29"/>
      <c r="F765" s="29">
        <v>0</v>
      </c>
      <c r="G765" s="29"/>
      <c r="H765" s="29"/>
      <c r="I765" s="29"/>
      <c r="J765" s="29"/>
      <c r="K765" s="29"/>
      <c r="L765" s="29"/>
      <c r="M765" s="29"/>
      <c r="N765" s="83"/>
      <c r="O765" s="83"/>
      <c r="P765" s="52"/>
    </row>
    <row r="766" spans="2:16" x14ac:dyDescent="0.3">
      <c r="B766" s="21" t="s">
        <v>1346</v>
      </c>
      <c r="C766" s="1" t="s">
        <v>1347</v>
      </c>
      <c r="D766" s="28">
        <f t="shared" si="161"/>
        <v>0</v>
      </c>
      <c r="E766" s="29"/>
      <c r="F766" s="29">
        <v>0</v>
      </c>
      <c r="G766" s="29"/>
      <c r="H766" s="29"/>
      <c r="I766" s="29"/>
      <c r="J766" s="29"/>
      <c r="K766" s="29"/>
      <c r="L766" s="29"/>
      <c r="M766" s="29"/>
      <c r="N766" s="83"/>
      <c r="O766" s="83"/>
      <c r="P766" s="52"/>
    </row>
    <row r="767" spans="2:16" x14ac:dyDescent="0.3">
      <c r="B767" s="21" t="s">
        <v>1348</v>
      </c>
      <c r="C767" s="1" t="s">
        <v>1349</v>
      </c>
      <c r="D767" s="28">
        <f t="shared" si="161"/>
        <v>0</v>
      </c>
      <c r="E767" s="29"/>
      <c r="F767" s="29">
        <v>0</v>
      </c>
      <c r="G767" s="29"/>
      <c r="H767" s="29"/>
      <c r="I767" s="29"/>
      <c r="J767" s="29"/>
      <c r="K767" s="29"/>
      <c r="L767" s="29"/>
      <c r="M767" s="29"/>
      <c r="N767" s="83"/>
      <c r="O767" s="83"/>
      <c r="P767" s="52"/>
    </row>
    <row r="768" spans="2:16" ht="28.8" x14ac:dyDescent="0.3">
      <c r="B768" s="21" t="s">
        <v>1350</v>
      </c>
      <c r="C768" s="1" t="s">
        <v>1351</v>
      </c>
      <c r="D768" s="28">
        <f t="shared" si="161"/>
        <v>0</v>
      </c>
      <c r="E768" s="29"/>
      <c r="F768" s="29">
        <v>0</v>
      </c>
      <c r="G768" s="29"/>
      <c r="H768" s="29"/>
      <c r="I768" s="29"/>
      <c r="J768" s="29"/>
      <c r="K768" s="29"/>
      <c r="L768" s="29"/>
      <c r="M768" s="29"/>
      <c r="N768" s="83"/>
      <c r="O768" s="83"/>
      <c r="P768" s="52"/>
    </row>
    <row r="769" spans="2:16" ht="28.8" x14ac:dyDescent="0.3">
      <c r="B769" s="21" t="s">
        <v>1352</v>
      </c>
      <c r="C769" s="1" t="s">
        <v>1353</v>
      </c>
      <c r="D769" s="28">
        <f t="shared" si="161"/>
        <v>0</v>
      </c>
      <c r="E769" s="29"/>
      <c r="F769" s="29">
        <v>0</v>
      </c>
      <c r="G769" s="29"/>
      <c r="H769" s="29"/>
      <c r="I769" s="29"/>
      <c r="J769" s="29"/>
      <c r="K769" s="29"/>
      <c r="L769" s="29"/>
      <c r="M769" s="29"/>
      <c r="N769" s="83"/>
      <c r="O769" s="83"/>
      <c r="P769" s="114"/>
    </row>
    <row r="770" spans="2:16" ht="43.2" x14ac:dyDescent="0.3">
      <c r="B770" s="21" t="s">
        <v>1354</v>
      </c>
      <c r="C770" s="1" t="s">
        <v>1355</v>
      </c>
      <c r="D770" s="23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5"/>
      <c r="P770" s="52"/>
    </row>
    <row r="771" spans="2:16" ht="28.8" x14ac:dyDescent="0.3">
      <c r="B771" s="21" t="s">
        <v>1356</v>
      </c>
      <c r="C771" s="1" t="s">
        <v>1357</v>
      </c>
      <c r="D771" s="28">
        <f t="shared" si="161"/>
        <v>0</v>
      </c>
      <c r="E771" s="29"/>
      <c r="F771" s="29">
        <v>0</v>
      </c>
      <c r="G771" s="29"/>
      <c r="H771" s="29"/>
      <c r="I771" s="29"/>
      <c r="J771" s="29"/>
      <c r="K771" s="29"/>
      <c r="L771" s="29"/>
      <c r="M771" s="29"/>
      <c r="N771" s="31" t="str">
        <f>IF((D771&lt;=D765+D766+D767)*AND(E771&lt;=E765+E766+E767)*AND(F771&lt;=F765+F766+F767)*AND(G771&lt;=G765+G766+G767)*AND(H771&lt;=H765+H766+H767)*AND(I771&lt;=I765+I766+I767)*AND(K771&lt;=K765+K766+K767)*AND(L771&lt;=L765+L765+L767)*AND(M771&lt;=M765+M766+M767)*AND(J771&lt;=J765+J766+J767),"Выполнено","ПРОВЕРИТЬ - избранных составов не может быть больше чем проведенных выборов)")</f>
        <v>Выполнено</v>
      </c>
      <c r="O771" s="83"/>
      <c r="P771" s="114"/>
    </row>
    <row r="772" spans="2:16" x14ac:dyDescent="0.3">
      <c r="B772" s="21" t="s">
        <v>1358</v>
      </c>
      <c r="C772" s="1" t="s">
        <v>1359</v>
      </c>
      <c r="D772" s="28">
        <f t="shared" si="161"/>
        <v>0</v>
      </c>
      <c r="E772" s="29"/>
      <c r="F772" s="29">
        <v>0</v>
      </c>
      <c r="G772" s="29"/>
      <c r="H772" s="29"/>
      <c r="I772" s="29"/>
      <c r="J772" s="29"/>
      <c r="K772" s="29"/>
      <c r="L772" s="29"/>
      <c r="M772" s="29"/>
      <c r="N772" s="83"/>
      <c r="O772" s="83"/>
      <c r="P772" s="114"/>
    </row>
    <row r="773" spans="2:16" x14ac:dyDescent="0.3">
      <c r="B773" s="21" t="s">
        <v>1360</v>
      </c>
      <c r="C773" s="1" t="s">
        <v>1070</v>
      </c>
      <c r="D773" s="28">
        <f t="shared" si="161"/>
        <v>0</v>
      </c>
      <c r="E773" s="29"/>
      <c r="F773" s="29">
        <v>0</v>
      </c>
      <c r="G773" s="29"/>
      <c r="H773" s="29"/>
      <c r="I773" s="29"/>
      <c r="J773" s="29"/>
      <c r="K773" s="29"/>
      <c r="L773" s="29"/>
      <c r="M773" s="29"/>
      <c r="N773" s="31" t="str">
        <f>IF((D773&lt;=D769)*AND(E773&lt;=E769)*AND(F773&lt;=F769)*AND(G773&lt;=G769)*AND(H773&lt;=H769)*AND(I773&lt;=I769)*AND(K773&lt;=K769)*AND(L773&lt;=L769)*AND(M773&lt;=M769)*AND(J773&lt;=J769),"Выполнено","ПРОВЕРИТЬ - избранных глав не может быть больше чем проведенных выборов глав)")</f>
        <v>Выполнено</v>
      </c>
      <c r="O773" s="83"/>
      <c r="P773" s="52"/>
    </row>
    <row r="774" spans="2:16" x14ac:dyDescent="0.3">
      <c r="B774" s="21" t="s">
        <v>1361</v>
      </c>
      <c r="C774" s="1" t="s">
        <v>1362</v>
      </c>
      <c r="D774" s="28">
        <f t="shared" si="161"/>
        <v>0</v>
      </c>
      <c r="E774" s="50">
        <f t="shared" ref="E774:M774" si="163">E775+E776</f>
        <v>0</v>
      </c>
      <c r="F774" s="50">
        <f t="shared" si="163"/>
        <v>0</v>
      </c>
      <c r="G774" s="50">
        <f t="shared" si="163"/>
        <v>0</v>
      </c>
      <c r="H774" s="50">
        <f t="shared" si="163"/>
        <v>0</v>
      </c>
      <c r="I774" s="50">
        <f t="shared" si="163"/>
        <v>0</v>
      </c>
      <c r="J774" s="50">
        <f>J775+J776</f>
        <v>0</v>
      </c>
      <c r="K774" s="50">
        <f t="shared" si="163"/>
        <v>0</v>
      </c>
      <c r="L774" s="50">
        <f t="shared" si="163"/>
        <v>0</v>
      </c>
      <c r="M774" s="50">
        <f t="shared" si="163"/>
        <v>0</v>
      </c>
      <c r="N774" s="83"/>
      <c r="O774" s="83"/>
      <c r="P774" s="114"/>
    </row>
    <row r="775" spans="2:16" x14ac:dyDescent="0.3">
      <c r="B775" s="33" t="s">
        <v>1363</v>
      </c>
      <c r="C775" s="34" t="s">
        <v>1364</v>
      </c>
      <c r="D775" s="28">
        <f t="shared" si="161"/>
        <v>0</v>
      </c>
      <c r="E775" s="49"/>
      <c r="F775" s="49">
        <v>0</v>
      </c>
      <c r="G775" s="49"/>
      <c r="H775" s="49"/>
      <c r="I775" s="49"/>
      <c r="J775" s="49"/>
      <c r="K775" s="49"/>
      <c r="L775" s="49"/>
      <c r="M775" s="49"/>
      <c r="N775" s="83"/>
      <c r="O775" s="31" t="str">
        <f>IF(((D775-F775-G775=0)),"   ","Нужно заполнить пункт 63 текстовой части - о референдумах и голосованиях")</f>
        <v xml:space="preserve">   </v>
      </c>
      <c r="P775" s="114"/>
    </row>
    <row r="776" spans="2:16" x14ac:dyDescent="0.3">
      <c r="B776" s="33" t="s">
        <v>1365</v>
      </c>
      <c r="C776" s="34" t="s">
        <v>1366</v>
      </c>
      <c r="D776" s="28">
        <f t="shared" si="161"/>
        <v>0</v>
      </c>
      <c r="E776" s="49"/>
      <c r="F776" s="49">
        <v>0</v>
      </c>
      <c r="G776" s="49"/>
      <c r="H776" s="49"/>
      <c r="I776" s="49"/>
      <c r="J776" s="49"/>
      <c r="K776" s="49"/>
      <c r="L776" s="49"/>
      <c r="M776" s="49"/>
      <c r="N776" s="83"/>
      <c r="O776" s="31" t="str">
        <f>IF(((D776=0)),"   ","Нужно заполнить пункт 63 текстовой части - о референдумах и голосованиях")</f>
        <v xml:space="preserve">   </v>
      </c>
      <c r="P776" s="114"/>
    </row>
    <row r="777" spans="2:16" ht="43.2" x14ac:dyDescent="0.3">
      <c r="B777" s="33" t="s">
        <v>1367</v>
      </c>
      <c r="C777" s="34" t="s">
        <v>1368</v>
      </c>
      <c r="D777" s="28">
        <f t="shared" si="161"/>
        <v>0</v>
      </c>
      <c r="E777" s="49"/>
      <c r="F777" s="49">
        <v>0</v>
      </c>
      <c r="G777" s="49"/>
      <c r="H777" s="49"/>
      <c r="I777" s="49"/>
      <c r="J777" s="49"/>
      <c r="K777" s="49"/>
      <c r="L777" s="49"/>
      <c r="M777" s="49"/>
      <c r="N777" s="83"/>
      <c r="O777" s="31" t="str">
        <f>IF(((D777=0)),"   ","Нужно заполнить пункт 63 текстовой части - о референдумах и голосованиях")</f>
        <v xml:space="preserve">   </v>
      </c>
      <c r="P777" s="52"/>
    </row>
    <row r="778" spans="2:16" ht="28.8" x14ac:dyDescent="0.3">
      <c r="B778" s="33" t="s">
        <v>1369</v>
      </c>
      <c r="C778" s="34" t="s">
        <v>1370</v>
      </c>
      <c r="D778" s="28">
        <f t="shared" si="161"/>
        <v>0</v>
      </c>
      <c r="E778" s="49"/>
      <c r="F778" s="49">
        <v>0</v>
      </c>
      <c r="G778" s="49"/>
      <c r="H778" s="49"/>
      <c r="I778" s="49"/>
      <c r="J778" s="49"/>
      <c r="K778" s="49"/>
      <c r="L778" s="49"/>
      <c r="M778" s="49"/>
      <c r="N778" s="83"/>
      <c r="O778" s="31" t="str">
        <f>IF(((D778=0)),"   ","Нужно заполнить пункт 63 текстовой части - о референдумах и голосованиях")</f>
        <v xml:space="preserve">   </v>
      </c>
      <c r="P778" s="52"/>
    </row>
    <row r="779" spans="2:16" x14ac:dyDescent="0.3">
      <c r="B779" s="93" t="s">
        <v>1371</v>
      </c>
      <c r="C779" s="22" t="s">
        <v>1372</v>
      </c>
      <c r="D779" s="23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5"/>
      <c r="P779" s="52"/>
    </row>
    <row r="780" spans="2:16" ht="43.2" x14ac:dyDescent="0.3">
      <c r="B780" s="21" t="s">
        <v>1373</v>
      </c>
      <c r="C780" s="1" t="s">
        <v>1374</v>
      </c>
      <c r="D780" s="28">
        <f t="shared" ref="D780:D783" si="164">F780+G780</f>
        <v>0</v>
      </c>
      <c r="E780" s="62"/>
      <c r="F780" s="50">
        <f>F291</f>
        <v>0</v>
      </c>
      <c r="G780" s="50">
        <f>G291</f>
        <v>0</v>
      </c>
      <c r="H780" s="59"/>
      <c r="I780" s="59"/>
      <c r="J780" s="61"/>
      <c r="K780" s="60"/>
      <c r="L780" s="60"/>
      <c r="M780" s="60"/>
      <c r="N780" s="83"/>
      <c r="O780" s="83"/>
      <c r="P780" s="52"/>
    </row>
    <row r="781" spans="2:16" ht="28.8" x14ac:dyDescent="0.3">
      <c r="B781" s="21" t="s">
        <v>1375</v>
      </c>
      <c r="C781" s="1" t="s">
        <v>1376</v>
      </c>
      <c r="D781" s="28">
        <f t="shared" si="164"/>
        <v>0</v>
      </c>
      <c r="E781" s="65"/>
      <c r="F781" s="50">
        <f>F356</f>
        <v>0</v>
      </c>
      <c r="G781" s="50">
        <f>G356</f>
        <v>0</v>
      </c>
      <c r="H781" s="57"/>
      <c r="I781" s="57"/>
      <c r="J781" s="58"/>
      <c r="K781" s="48"/>
      <c r="L781" s="48"/>
      <c r="M781" s="48"/>
      <c r="N781" s="83"/>
      <c r="O781" s="83"/>
      <c r="P781" s="52"/>
    </row>
    <row r="782" spans="2:16" ht="28.8" x14ac:dyDescent="0.3">
      <c r="B782" s="82" t="s">
        <v>1377</v>
      </c>
      <c r="C782" s="1" t="s">
        <v>1378</v>
      </c>
      <c r="D782" s="28">
        <f t="shared" ref="D782" si="165">SUM(E782:I782)+SUM(K782:M782)</f>
        <v>0</v>
      </c>
      <c r="E782" s="50">
        <f t="shared" ref="E782:M782" si="166">SUM(E783:E790)</f>
        <v>0</v>
      </c>
      <c r="F782" s="50">
        <f t="shared" si="166"/>
        <v>0</v>
      </c>
      <c r="G782" s="50">
        <f t="shared" si="166"/>
        <v>0</v>
      </c>
      <c r="H782" s="50">
        <f t="shared" si="166"/>
        <v>0</v>
      </c>
      <c r="I782" s="50">
        <f t="shared" si="166"/>
        <v>0</v>
      </c>
      <c r="J782" s="50">
        <f>SUM(J783:J790)</f>
        <v>0</v>
      </c>
      <c r="K782" s="50">
        <f t="shared" si="166"/>
        <v>0</v>
      </c>
      <c r="L782" s="50">
        <f t="shared" si="166"/>
        <v>0</v>
      </c>
      <c r="M782" s="50">
        <f t="shared" si="166"/>
        <v>0</v>
      </c>
      <c r="N782" s="83"/>
      <c r="O782" s="83"/>
      <c r="P782" s="52"/>
    </row>
    <row r="783" spans="2:16" ht="28.8" x14ac:dyDescent="0.3">
      <c r="B783" s="82" t="s">
        <v>1379</v>
      </c>
      <c r="C783" s="1" t="s">
        <v>1380</v>
      </c>
      <c r="D783" s="28">
        <f t="shared" si="164"/>
        <v>0</v>
      </c>
      <c r="E783" s="50"/>
      <c r="F783" s="29">
        <v>0</v>
      </c>
      <c r="G783" s="29"/>
      <c r="H783" s="23"/>
      <c r="I783" s="23"/>
      <c r="J783" s="25"/>
      <c r="K783" s="24"/>
      <c r="L783" s="24"/>
      <c r="M783" s="24"/>
      <c r="N783" s="83"/>
      <c r="O783" s="83"/>
      <c r="P783" s="52"/>
    </row>
    <row r="784" spans="2:16" ht="28.8" x14ac:dyDescent="0.3">
      <c r="B784" s="82" t="s">
        <v>1381</v>
      </c>
      <c r="C784" s="1" t="s">
        <v>1382</v>
      </c>
      <c r="D784" s="28">
        <f t="shared" ref="D784:D810" si="167">SUM(E784:I784)+SUM(K784:M784)</f>
        <v>0</v>
      </c>
      <c r="E784" s="29"/>
      <c r="F784" s="29">
        <v>0</v>
      </c>
      <c r="G784" s="29"/>
      <c r="H784" s="29"/>
      <c r="I784" s="29"/>
      <c r="J784" s="29"/>
      <c r="K784" s="29"/>
      <c r="L784" s="29"/>
      <c r="M784" s="29"/>
      <c r="N784" s="83"/>
      <c r="O784" s="83"/>
      <c r="P784" s="52"/>
    </row>
    <row r="785" spans="2:16" ht="28.8" x14ac:dyDescent="0.3">
      <c r="B785" s="82" t="s">
        <v>1383</v>
      </c>
      <c r="C785" s="1" t="s">
        <v>1384</v>
      </c>
      <c r="D785" s="28">
        <f t="shared" si="167"/>
        <v>0</v>
      </c>
      <c r="E785" s="29"/>
      <c r="F785" s="29">
        <v>0</v>
      </c>
      <c r="G785" s="29"/>
      <c r="H785" s="29"/>
      <c r="I785" s="29"/>
      <c r="J785" s="29"/>
      <c r="K785" s="29"/>
      <c r="L785" s="29"/>
      <c r="M785" s="29"/>
      <c r="N785" s="83"/>
      <c r="O785" s="83"/>
      <c r="P785" s="52"/>
    </row>
    <row r="786" spans="2:16" x14ac:dyDescent="0.3">
      <c r="B786" s="82" t="s">
        <v>1385</v>
      </c>
      <c r="C786" s="1" t="s">
        <v>1386</v>
      </c>
      <c r="D786" s="28">
        <f t="shared" si="167"/>
        <v>0</v>
      </c>
      <c r="E786" s="29"/>
      <c r="F786" s="29">
        <v>0</v>
      </c>
      <c r="G786" s="29"/>
      <c r="H786" s="29"/>
      <c r="I786" s="29"/>
      <c r="J786" s="29"/>
      <c r="K786" s="29"/>
      <c r="L786" s="29"/>
      <c r="M786" s="29"/>
      <c r="N786" s="83"/>
      <c r="O786" s="83"/>
      <c r="P786" s="52"/>
    </row>
    <row r="787" spans="2:16" ht="28.8" x14ac:dyDescent="0.3">
      <c r="B787" s="82" t="s">
        <v>1387</v>
      </c>
      <c r="C787" s="1" t="s">
        <v>1388</v>
      </c>
      <c r="D787" s="28">
        <f t="shared" si="167"/>
        <v>0</v>
      </c>
      <c r="E787" s="29"/>
      <c r="F787" s="29">
        <v>0</v>
      </c>
      <c r="G787" s="29"/>
      <c r="H787" s="29"/>
      <c r="I787" s="29"/>
      <c r="J787" s="29"/>
      <c r="K787" s="29"/>
      <c r="L787" s="29"/>
      <c r="M787" s="29"/>
      <c r="N787" s="83"/>
      <c r="O787" s="83"/>
      <c r="P787" s="52"/>
    </row>
    <row r="788" spans="2:16" ht="28.8" x14ac:dyDescent="0.3">
      <c r="B788" s="82" t="s">
        <v>1389</v>
      </c>
      <c r="C788" s="1" t="s">
        <v>1390</v>
      </c>
      <c r="D788" s="28">
        <f t="shared" si="167"/>
        <v>0</v>
      </c>
      <c r="E788" s="29"/>
      <c r="F788" s="29">
        <v>0</v>
      </c>
      <c r="G788" s="29"/>
      <c r="H788" s="29"/>
      <c r="I788" s="29"/>
      <c r="J788" s="29"/>
      <c r="K788" s="29"/>
      <c r="L788" s="29"/>
      <c r="M788" s="29"/>
      <c r="N788" s="83"/>
      <c r="O788" s="83"/>
      <c r="P788" s="52"/>
    </row>
    <row r="789" spans="2:16" ht="28.8" x14ac:dyDescent="0.3">
      <c r="B789" s="82" t="s">
        <v>1391</v>
      </c>
      <c r="C789" s="1" t="s">
        <v>1392</v>
      </c>
      <c r="D789" s="28">
        <f t="shared" si="167"/>
        <v>0</v>
      </c>
      <c r="E789" s="29"/>
      <c r="F789" s="29">
        <v>0</v>
      </c>
      <c r="G789" s="29"/>
      <c r="H789" s="29"/>
      <c r="I789" s="29"/>
      <c r="J789" s="29"/>
      <c r="K789" s="29"/>
      <c r="L789" s="29"/>
      <c r="M789" s="29"/>
      <c r="N789" s="83"/>
      <c r="O789" s="83"/>
      <c r="P789" s="52"/>
    </row>
    <row r="790" spans="2:16" ht="43.2" x14ac:dyDescent="0.3">
      <c r="B790" s="82" t="s">
        <v>1393</v>
      </c>
      <c r="C790" s="1" t="s">
        <v>1394</v>
      </c>
      <c r="D790" s="28">
        <f t="shared" si="167"/>
        <v>0</v>
      </c>
      <c r="E790" s="29"/>
      <c r="F790" s="29">
        <v>0</v>
      </c>
      <c r="G790" s="29"/>
      <c r="H790" s="29"/>
      <c r="I790" s="29"/>
      <c r="J790" s="29"/>
      <c r="K790" s="29"/>
      <c r="L790" s="29"/>
      <c r="M790" s="29"/>
      <c r="N790" s="83"/>
      <c r="O790" s="31" t="str">
        <f>IF(((D790=0)),"   ","Подсказка - имеются в виду случаи, когда организаторы именуют сходами мероприятия по вопросам, выходящим за предмет ст.25 и ст.25.1 Федерального закона № 131-ФЗ, как правило в таких случаях следовало проводить собрания")</f>
        <v xml:space="preserve">   </v>
      </c>
      <c r="P790" s="52"/>
    </row>
    <row r="791" spans="2:16" ht="28.8" x14ac:dyDescent="0.3">
      <c r="B791" s="82" t="s">
        <v>1395</v>
      </c>
      <c r="C791" s="1" t="s">
        <v>1396</v>
      </c>
      <c r="D791" s="28">
        <f t="shared" si="167"/>
        <v>0</v>
      </c>
      <c r="E791" s="29"/>
      <c r="F791" s="29">
        <v>0</v>
      </c>
      <c r="G791" s="29"/>
      <c r="H791" s="29"/>
      <c r="I791" s="29"/>
      <c r="J791" s="29"/>
      <c r="K791" s="29"/>
      <c r="L791" s="29"/>
      <c r="M791" s="29"/>
      <c r="N791" s="31" t="str">
        <f>IF((D791&lt;=D782)*AND(E791&lt;=E782)*AND(F791&lt;=F782)*AND(G791&lt;=G782)*AND(H791&lt;=H782)*AND(I791&lt;=I782)*AND(K791&lt;=K782)*AND(L791&lt;=L782)*AND(M791&lt;=M782)*AND(J791&lt;=J782),"Выполнено","ПРОВЕРИТЬ (таких сходов не может быть больше чем сходов всего)
)")</f>
        <v>Выполнено</v>
      </c>
      <c r="O791" s="83"/>
      <c r="P791" s="52"/>
    </row>
    <row r="792" spans="2:16" ht="28.8" x14ac:dyDescent="0.3">
      <c r="B792" s="93" t="s">
        <v>1397</v>
      </c>
      <c r="C792" s="22" t="s">
        <v>1398</v>
      </c>
      <c r="D792" s="23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5"/>
      <c r="P792" s="114"/>
    </row>
    <row r="793" spans="2:16" ht="43.2" x14ac:dyDescent="0.3">
      <c r="B793" s="82" t="s">
        <v>1399</v>
      </c>
      <c r="C793" s="1" t="s">
        <v>1400</v>
      </c>
      <c r="D793" s="28">
        <f t="shared" si="167"/>
        <v>0</v>
      </c>
      <c r="E793" s="29"/>
      <c r="F793" s="29">
        <v>0</v>
      </c>
      <c r="G793" s="29"/>
      <c r="H793" s="29"/>
      <c r="I793" s="29"/>
      <c r="J793" s="29"/>
      <c r="K793" s="29"/>
      <c r="L793" s="29"/>
      <c r="M793" s="29"/>
      <c r="N793" s="25"/>
      <c r="O793" s="25"/>
      <c r="P793" s="52"/>
    </row>
    <row r="794" spans="2:16" ht="28.8" x14ac:dyDescent="0.3">
      <c r="B794" s="82" t="s">
        <v>1401</v>
      </c>
      <c r="C794" s="1" t="s">
        <v>1402</v>
      </c>
      <c r="D794" s="28">
        <f t="shared" si="167"/>
        <v>0</v>
      </c>
      <c r="E794" s="29"/>
      <c r="F794" s="29">
        <v>0</v>
      </c>
      <c r="G794" s="29"/>
      <c r="H794" s="29"/>
      <c r="I794" s="29"/>
      <c r="J794" s="29"/>
      <c r="K794" s="29"/>
      <c r="L794" s="29"/>
      <c r="M794" s="29"/>
      <c r="N794" s="25"/>
      <c r="O794" s="25"/>
      <c r="P794" s="114"/>
    </row>
    <row r="795" spans="2:16" x14ac:dyDescent="0.3">
      <c r="B795" s="82" t="s">
        <v>1403</v>
      </c>
      <c r="C795" s="1" t="s">
        <v>1404</v>
      </c>
      <c r="D795" s="28">
        <f t="shared" si="167"/>
        <v>3</v>
      </c>
      <c r="E795" s="29"/>
      <c r="F795" s="29">
        <v>3</v>
      </c>
      <c r="G795" s="29"/>
      <c r="H795" s="29"/>
      <c r="I795" s="29"/>
      <c r="J795" s="29"/>
      <c r="K795" s="29"/>
      <c r="L795" s="29"/>
      <c r="M795" s="29"/>
      <c r="N795" s="25"/>
      <c r="O795" s="25"/>
      <c r="P795" s="114"/>
    </row>
    <row r="796" spans="2:16" x14ac:dyDescent="0.3">
      <c r="B796" s="82" t="s">
        <v>1405</v>
      </c>
      <c r="C796" s="1" t="s">
        <v>1406</v>
      </c>
      <c r="D796" s="28">
        <f t="shared" si="167"/>
        <v>3</v>
      </c>
      <c r="E796" s="29"/>
      <c r="F796" s="29">
        <v>3</v>
      </c>
      <c r="G796" s="29"/>
      <c r="H796" s="29"/>
      <c r="I796" s="29"/>
      <c r="J796" s="29"/>
      <c r="K796" s="29"/>
      <c r="L796" s="29"/>
      <c r="M796" s="29"/>
      <c r="N796" s="25"/>
      <c r="O796" s="25"/>
      <c r="P796" s="52"/>
    </row>
    <row r="797" spans="2:16" ht="43.2" x14ac:dyDescent="0.3">
      <c r="B797" s="33" t="s">
        <v>1407</v>
      </c>
      <c r="C797" s="34" t="s">
        <v>1408</v>
      </c>
      <c r="D797" s="28">
        <f t="shared" si="167"/>
        <v>0</v>
      </c>
      <c r="E797" s="49"/>
      <c r="F797" s="49">
        <v>0</v>
      </c>
      <c r="G797" s="49"/>
      <c r="H797" s="49"/>
      <c r="I797" s="49"/>
      <c r="J797" s="49"/>
      <c r="K797" s="49"/>
      <c r="L797" s="49"/>
      <c r="M797" s="49"/>
      <c r="N797" s="25"/>
      <c r="O797" s="31" t="str">
        <f>IF(((D797=0)),"   ","Нужно заполнить пункт 64 текстовой части - о проведенных опросах граждан")</f>
        <v xml:space="preserve">   </v>
      </c>
      <c r="P797" s="114"/>
    </row>
    <row r="798" spans="2:16" x14ac:dyDescent="0.3">
      <c r="B798" s="93" t="s">
        <v>1409</v>
      </c>
      <c r="C798" s="22" t="s">
        <v>1410</v>
      </c>
      <c r="D798" s="23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5"/>
      <c r="P798" s="114"/>
    </row>
    <row r="799" spans="2:16" x14ac:dyDescent="0.3">
      <c r="B799" s="82" t="s">
        <v>1411</v>
      </c>
      <c r="C799" s="1" t="s">
        <v>1412</v>
      </c>
      <c r="D799" s="28">
        <f t="shared" si="167"/>
        <v>0</v>
      </c>
      <c r="E799" s="29"/>
      <c r="F799" s="29">
        <v>0</v>
      </c>
      <c r="G799" s="29"/>
      <c r="H799" s="53"/>
      <c r="I799" s="53"/>
      <c r="J799" s="29"/>
      <c r="K799" s="53"/>
      <c r="L799" s="53"/>
      <c r="M799" s="53"/>
      <c r="N799" s="83"/>
      <c r="O799" s="83"/>
      <c r="P799" s="114"/>
    </row>
    <row r="800" spans="2:16" x14ac:dyDescent="0.3">
      <c r="B800" s="33" t="s">
        <v>1413</v>
      </c>
      <c r="C800" s="34" t="s">
        <v>1414</v>
      </c>
      <c r="D800" s="28">
        <f t="shared" si="167"/>
        <v>0</v>
      </c>
      <c r="E800" s="49"/>
      <c r="F800" s="49">
        <v>0</v>
      </c>
      <c r="G800" s="49"/>
      <c r="H800" s="49"/>
      <c r="I800" s="49"/>
      <c r="J800" s="49"/>
      <c r="K800" s="49"/>
      <c r="L800" s="49"/>
      <c r="M800" s="49"/>
      <c r="N800" s="83"/>
      <c r="O800" s="31" t="str">
        <f>IF(((D800=0)),"   ","Нужно заполнить пункт 65 текстовой части - о рассмотренных и реализованных гражданских правотворческих инициативах")</f>
        <v xml:space="preserve">   </v>
      </c>
      <c r="P800" s="52"/>
    </row>
    <row r="801" spans="2:16" ht="28.8" x14ac:dyDescent="0.3">
      <c r="B801" s="33" t="s">
        <v>1415</v>
      </c>
      <c r="C801" s="34" t="s">
        <v>1416</v>
      </c>
      <c r="D801" s="28">
        <f t="shared" si="167"/>
        <v>0</v>
      </c>
      <c r="E801" s="49"/>
      <c r="F801" s="49">
        <v>0</v>
      </c>
      <c r="G801" s="49"/>
      <c r="H801" s="49"/>
      <c r="I801" s="49"/>
      <c r="J801" s="49"/>
      <c r="K801" s="49"/>
      <c r="L801" s="49"/>
      <c r="M801" s="49"/>
      <c r="N801" s="83"/>
      <c r="O801" s="31" t="str">
        <f>IF(((D801=0)),"   ","Нужно заполнить пункт 65 текстовой части - о рассмотренных и реализованных гражданских правотворческих инициативах")</f>
        <v xml:space="preserve">   </v>
      </c>
      <c r="P801" s="52"/>
    </row>
    <row r="802" spans="2:16" ht="28.8" x14ac:dyDescent="0.3">
      <c r="B802" s="93" t="s">
        <v>1417</v>
      </c>
      <c r="C802" s="22" t="s">
        <v>1418</v>
      </c>
      <c r="D802" s="23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5"/>
      <c r="P802" s="52"/>
    </row>
    <row r="803" spans="2:16" ht="72" x14ac:dyDescent="0.3">
      <c r="B803" s="82" t="s">
        <v>1419</v>
      </c>
      <c r="C803" s="1" t="s">
        <v>1420</v>
      </c>
      <c r="D803" s="28">
        <f t="shared" si="167"/>
        <v>0</v>
      </c>
      <c r="E803" s="29"/>
      <c r="F803" s="29">
        <v>0</v>
      </c>
      <c r="G803" s="29"/>
      <c r="H803" s="29"/>
      <c r="I803" s="29"/>
      <c r="J803" s="29"/>
      <c r="K803" s="53"/>
      <c r="L803" s="53"/>
      <c r="M803" s="53"/>
      <c r="N803" s="31" t="str">
        <f>IF((D803&lt;=D$10)*AND(E803&lt;=E$10)*AND(F803&lt;=F$10)*AND(G803&lt;=G$10)*AND(H803&lt;=H$10)*AND(I803&lt;=I$10)*AND(K803&lt;=K$10)*AND(L803&lt;=L$10)*AND(M803&lt;=M$10)*AND(J803&lt;=J$10),"Выполнено","ПРОВЕРИТЬ (таких муниципальных образований не может быть больше их общего числа)")</f>
        <v>Выполнено</v>
      </c>
      <c r="O803" s="30"/>
      <c r="P803" s="52"/>
    </row>
    <row r="804" spans="2:16" ht="28.8" x14ac:dyDescent="0.3">
      <c r="B804" s="82" t="s">
        <v>1421</v>
      </c>
      <c r="C804" s="1" t="s">
        <v>1422</v>
      </c>
      <c r="D804" s="28">
        <f t="shared" si="167"/>
        <v>0</v>
      </c>
      <c r="E804" s="29"/>
      <c r="F804" s="29">
        <v>0</v>
      </c>
      <c r="G804" s="29"/>
      <c r="H804" s="29"/>
      <c r="I804" s="29"/>
      <c r="J804" s="29"/>
      <c r="K804" s="53"/>
      <c r="L804" s="53"/>
      <c r="M804" s="53"/>
      <c r="N804" s="30"/>
      <c r="O804" s="30"/>
      <c r="P804" s="52"/>
    </row>
    <row r="805" spans="2:16" ht="28.8" x14ac:dyDescent="0.3">
      <c r="B805" s="82" t="s">
        <v>1423</v>
      </c>
      <c r="C805" s="1" t="s">
        <v>1424</v>
      </c>
      <c r="D805" s="28">
        <f t="shared" si="167"/>
        <v>0</v>
      </c>
      <c r="E805" s="29"/>
      <c r="F805" s="29">
        <v>0</v>
      </c>
      <c r="G805" s="29"/>
      <c r="H805" s="29"/>
      <c r="I805" s="29"/>
      <c r="J805" s="29"/>
      <c r="K805" s="53"/>
      <c r="L805" s="53"/>
      <c r="M805" s="53"/>
      <c r="N805" s="30"/>
      <c r="O805" s="30"/>
      <c r="P805" s="52"/>
    </row>
    <row r="806" spans="2:16" ht="43.2" x14ac:dyDescent="0.3">
      <c r="B806" s="82" t="s">
        <v>1425</v>
      </c>
      <c r="C806" s="1" t="s">
        <v>1426</v>
      </c>
      <c r="D806" s="28">
        <f t="shared" si="167"/>
        <v>0</v>
      </c>
      <c r="E806" s="29"/>
      <c r="F806" s="29">
        <v>0</v>
      </c>
      <c r="G806" s="29"/>
      <c r="H806" s="29"/>
      <c r="I806" s="29"/>
      <c r="J806" s="29"/>
      <c r="K806" s="53"/>
      <c r="L806" s="53"/>
      <c r="M806" s="53"/>
      <c r="N806" s="31" t="str">
        <f>IF((D806&gt;=D805)*AND(E806&gt;=E805)*AND(F806&gt;=F805)*AND(G806&gt;=G805)*AND(H806&gt;=H805)*AND(I806&gt;=I805)*AND(K806&gt;=K805)*AND(L806&gt;=L805)*AND(M806&gt;=M805)*AND(J806&gt;=J805),"Выполнено","ПРОВЕРИТЬ (количество членов общественных палат и советов, как правило, в разы больше количества самих общественных палат и советов)")</f>
        <v>Выполнено</v>
      </c>
      <c r="O806" s="30"/>
      <c r="P806" s="52"/>
    </row>
    <row r="807" spans="2:16" hidden="1" x14ac:dyDescent="0.3">
      <c r="B807" s="93" t="s">
        <v>1427</v>
      </c>
      <c r="C807" s="22" t="s">
        <v>1428</v>
      </c>
      <c r="D807" s="23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5"/>
      <c r="P807" s="52"/>
    </row>
    <row r="808" spans="2:16" ht="57.6" hidden="1" x14ac:dyDescent="0.3">
      <c r="B808" s="82" t="s">
        <v>1429</v>
      </c>
      <c r="C808" s="1" t="s">
        <v>1430</v>
      </c>
      <c r="D808" s="28">
        <f t="shared" si="167"/>
        <v>0</v>
      </c>
      <c r="E808" s="53"/>
      <c r="F808" s="53"/>
      <c r="G808" s="53"/>
      <c r="H808" s="53"/>
      <c r="I808" s="53"/>
      <c r="J808" s="53"/>
      <c r="K808" s="53"/>
      <c r="L808" s="53"/>
      <c r="M808" s="53"/>
      <c r="N808" s="31" t="str">
        <f>IF((D808&lt;=D$10)*AND(E808&lt;=E$10)*AND(F808&lt;=F$10)*AND(G808&lt;=G$10)*AND(H808&lt;=H$10)*AND(I808&lt;=I$10)*AND(K808&lt;=K$10)*AND(L808&lt;=L$10)*AND(M808&lt;=M$10)*AND(J808&lt;=J$10),"Выполнено","ПРОВЕРИТЬ (таких муниципальных образований не может быть больше их общего числа)")</f>
        <v>Выполнено</v>
      </c>
      <c r="O808" s="31" t="str">
        <f>IF((E808&gt;=((F808+G808)/3000))*AND(K808&gt;=(L808/100)),"   ","Подсказка - если есть поселения с ТОСами, значит есть и районы с ТОСами, то же верно и для гор.округов с делением")</f>
        <v xml:space="preserve">   </v>
      </c>
      <c r="P808" s="52"/>
    </row>
    <row r="809" spans="2:16" ht="57.6" hidden="1" x14ac:dyDescent="0.3">
      <c r="B809" s="82" t="s">
        <v>1431</v>
      </c>
      <c r="C809" s="1" t="s">
        <v>1432</v>
      </c>
      <c r="D809" s="28">
        <f t="shared" si="167"/>
        <v>0</v>
      </c>
      <c r="E809" s="53"/>
      <c r="F809" s="53"/>
      <c r="G809" s="53"/>
      <c r="H809" s="53"/>
      <c r="I809" s="53"/>
      <c r="J809" s="53"/>
      <c r="K809" s="53"/>
      <c r="L809" s="53"/>
      <c r="M809" s="53"/>
      <c r="N809" s="25"/>
      <c r="O809" s="31" t="str">
        <f>IF(((D809&lt;=D808)*AND(E809&lt;=E808)*AND(F809&lt;=F808)*AND(G809&lt;=G808)*AND(H809&lt;=H808)*AND(I809&lt;=I808)*AND(K809&lt;=K808)*AND(L809&lt;=L808)*AND(M809&lt;=M808)*AND(J809&lt;=J808)),"   ","Подсказка - ТОСов со статусом юридических лиц обычно меньше чем всех ТОСов")</f>
        <v xml:space="preserve">   </v>
      </c>
      <c r="P809" s="52"/>
    </row>
    <row r="810" spans="2:16" ht="43.2" hidden="1" x14ac:dyDescent="0.3">
      <c r="B810" s="21" t="s">
        <v>1433</v>
      </c>
      <c r="C810" s="1" t="s">
        <v>1434</v>
      </c>
      <c r="D810" s="28">
        <f t="shared" si="167"/>
        <v>0</v>
      </c>
      <c r="E810" s="29"/>
      <c r="F810" s="29"/>
      <c r="G810" s="29"/>
      <c r="H810" s="29"/>
      <c r="I810" s="29"/>
      <c r="J810" s="29"/>
      <c r="K810" s="29"/>
      <c r="L810" s="29"/>
      <c r="M810" s="29"/>
      <c r="N810" s="31" t="str">
        <f>IF((D810&lt;=D151)*AND(E810&lt;=E151)*AND(F810&lt;=F151)*AND(G810&lt;=G151)*AND(H810&lt;=H151)*AND(I810&lt;=I151)*AND(K810&lt;=K151)*AND(L810&lt;=L151)*AND(M810&lt;=M151)*AND(J810&lt;=J151),"Выполнено","ПРОВЕРИТЬ (таких муниципальных образований не может быть больше  числа муниципальных образований - участников бюджетного процесса)")</f>
        <v>Выполнено</v>
      </c>
      <c r="O810" s="31" t="str">
        <f>IF(((D810=0)),"   ","Нужно заполнить пункт 66 текстовой части - о ТОСах, использующих бюджетные средства по соглашениям с муниципалитетами")</f>
        <v xml:space="preserve">   </v>
      </c>
      <c r="P810" s="52"/>
    </row>
    <row r="811" spans="2:16" ht="43.2" hidden="1" x14ac:dyDescent="0.3">
      <c r="B811" s="82" t="s">
        <v>1435</v>
      </c>
      <c r="C811" s="1" t="s">
        <v>1436</v>
      </c>
      <c r="D811" s="28">
        <f>SUM(D812:D814)</f>
        <v>0</v>
      </c>
      <c r="E811" s="24"/>
      <c r="F811" s="24"/>
      <c r="G811" s="24"/>
      <c r="H811" s="24"/>
      <c r="I811" s="24"/>
      <c r="J811" s="24"/>
      <c r="K811" s="24"/>
      <c r="L811" s="24"/>
      <c r="M811" s="24"/>
      <c r="N811" s="30"/>
      <c r="O811" s="25"/>
      <c r="P811" s="52"/>
    </row>
    <row r="812" spans="2:16" ht="28.8" hidden="1" x14ac:dyDescent="0.3">
      <c r="B812" s="82" t="s">
        <v>1437</v>
      </c>
      <c r="C812" s="150" t="s">
        <v>1438</v>
      </c>
      <c r="D812" s="28">
        <f>SUM(F812:I812)</f>
        <v>0</v>
      </c>
      <c r="E812" s="64"/>
      <c r="F812" s="29"/>
      <c r="G812" s="29"/>
      <c r="H812" s="29"/>
      <c r="I812" s="29"/>
      <c r="J812" s="29"/>
      <c r="K812" s="24"/>
      <c r="L812" s="24"/>
      <c r="M812" s="24"/>
      <c r="N812" s="31" t="str">
        <f>IF((F812&gt;=F808)*AND(G812&gt;=G808)*AND(H812&gt;=H808)*AND(I812&gt;=I808),"Выполнено","ПРОВЕРИТЬ (ТОСов в муниципальных образованиях не может быть меньше чем муниципальных образований соответствующего вида с ТОСами)")</f>
        <v>Выполнено</v>
      </c>
      <c r="O812" s="25"/>
      <c r="P812" s="114"/>
    </row>
    <row r="813" spans="2:16" hidden="1" x14ac:dyDescent="0.3">
      <c r="B813" s="82" t="s">
        <v>1439</v>
      </c>
      <c r="C813" s="1" t="s">
        <v>1440</v>
      </c>
      <c r="D813" s="28">
        <f>E813</f>
        <v>0</v>
      </c>
      <c r="E813" s="29"/>
      <c r="F813" s="24"/>
      <c r="G813" s="24"/>
      <c r="H813" s="24"/>
      <c r="I813" s="24"/>
      <c r="J813" s="55"/>
      <c r="K813" s="24"/>
      <c r="L813" s="24"/>
      <c r="M813" s="24"/>
      <c r="N813" s="30"/>
      <c r="O813" s="25"/>
      <c r="P813" s="52"/>
    </row>
    <row r="814" spans="2:16" ht="43.2" hidden="1" x14ac:dyDescent="0.3">
      <c r="B814" s="82" t="s">
        <v>1441</v>
      </c>
      <c r="C814" s="1" t="s">
        <v>1442</v>
      </c>
      <c r="D814" s="28">
        <f>L814+M814</f>
        <v>0</v>
      </c>
      <c r="E814" s="24"/>
      <c r="F814" s="24"/>
      <c r="G814" s="24"/>
      <c r="H814" s="24"/>
      <c r="I814" s="24"/>
      <c r="J814" s="24"/>
      <c r="K814" s="24"/>
      <c r="L814" s="53"/>
      <c r="M814" s="53"/>
      <c r="N814" s="31" t="str">
        <f>IF((L814&gt;=L808)*AND(M814&gt;=M808),"Выполнено","ПРОВЕРИТЬ (ТОСов в муниципальных образованиях не может быть меньше чем муниципальных образований соответствующего вида с ТОСами)")</f>
        <v>Выполнено</v>
      </c>
      <c r="O814" s="25"/>
      <c r="P814" s="114"/>
    </row>
    <row r="815" spans="2:16" ht="28.8" hidden="1" x14ac:dyDescent="0.3">
      <c r="B815" s="82" t="s">
        <v>1443</v>
      </c>
      <c r="C815" s="1" t="s">
        <v>1444</v>
      </c>
      <c r="D815" s="28">
        <f>SUM(D816:D818)</f>
        <v>0</v>
      </c>
      <c r="E815" s="24"/>
      <c r="F815" s="24"/>
      <c r="G815" s="24"/>
      <c r="H815" s="24"/>
      <c r="I815" s="24"/>
      <c r="J815" s="24"/>
      <c r="K815" s="24"/>
      <c r="L815" s="24"/>
      <c r="M815" s="24"/>
      <c r="N815" s="30"/>
      <c r="O815" s="25"/>
      <c r="P815" s="114"/>
    </row>
    <row r="816" spans="2:16" ht="28.8" hidden="1" x14ac:dyDescent="0.3">
      <c r="B816" s="82" t="s">
        <v>1445</v>
      </c>
      <c r="C816" s="150" t="s">
        <v>1438</v>
      </c>
      <c r="D816" s="28">
        <f>SUM(F816:I816)</f>
        <v>0</v>
      </c>
      <c r="E816" s="64"/>
      <c r="F816" s="29"/>
      <c r="G816" s="29"/>
      <c r="H816" s="29"/>
      <c r="I816" s="29"/>
      <c r="J816" s="29"/>
      <c r="K816" s="24"/>
      <c r="L816" s="24"/>
      <c r="M816" s="24"/>
      <c r="N816" s="31" t="str">
        <f>IF((F816&gt;=F809)*AND(G816&gt;=G809)*AND(H816&gt;=H809)*AND(I816&gt;=I809),"Выполнено","ПРОВЕРИТЬ (ТОСов в муниципальных образованиях не может быть меньше чем муниципальных образований соответствующего вида с ТОСами)")</f>
        <v>Выполнено</v>
      </c>
      <c r="O816" s="25"/>
      <c r="P816" s="52"/>
    </row>
    <row r="817" spans="2:16" hidden="1" x14ac:dyDescent="0.3">
      <c r="B817" s="82" t="s">
        <v>1446</v>
      </c>
      <c r="C817" s="1" t="s">
        <v>1440</v>
      </c>
      <c r="D817" s="28">
        <f>E817</f>
        <v>0</v>
      </c>
      <c r="E817" s="29"/>
      <c r="F817" s="24"/>
      <c r="G817" s="24"/>
      <c r="H817" s="24"/>
      <c r="I817" s="24"/>
      <c r="J817" s="55"/>
      <c r="K817" s="24"/>
      <c r="L817" s="24"/>
      <c r="M817" s="24"/>
      <c r="N817" s="30"/>
      <c r="O817" s="25"/>
      <c r="P817" s="114"/>
    </row>
    <row r="818" spans="2:16" ht="43.2" hidden="1" x14ac:dyDescent="0.3">
      <c r="B818" s="82" t="s">
        <v>1447</v>
      </c>
      <c r="C818" s="1" t="s">
        <v>1442</v>
      </c>
      <c r="D818" s="28">
        <f>L818+M818</f>
        <v>0</v>
      </c>
      <c r="E818" s="24"/>
      <c r="F818" s="24"/>
      <c r="G818" s="24"/>
      <c r="H818" s="24"/>
      <c r="I818" s="24"/>
      <c r="J818" s="24"/>
      <c r="K818" s="24"/>
      <c r="L818" s="53"/>
      <c r="M818" s="53"/>
      <c r="N818" s="31" t="str">
        <f>IF((L818&gt;=L809)*AND(M818&gt;=M809),"Выполнено","ПРОВЕРИТЬ (ТОСов в муниципальных образованиях не может быть меньше чем муниципальных образований соответствующего вида с ТОСами)")</f>
        <v>Выполнено</v>
      </c>
      <c r="O818" s="25"/>
      <c r="P818" s="114"/>
    </row>
    <row r="819" spans="2:16" ht="57.6" hidden="1" x14ac:dyDescent="0.3">
      <c r="B819" s="33" t="s">
        <v>1448</v>
      </c>
      <c r="C819" s="34" t="s">
        <v>1449</v>
      </c>
      <c r="D819" s="28">
        <f t="shared" ref="D819:D820" si="168">SUM(E819:I819)+SUM(K819:M819)</f>
        <v>0</v>
      </c>
      <c r="E819" s="49"/>
      <c r="F819" s="49"/>
      <c r="G819" s="49"/>
      <c r="H819" s="49"/>
      <c r="I819" s="49"/>
      <c r="J819" s="49"/>
      <c r="K819" s="49"/>
      <c r="L819" s="49"/>
      <c r="M819" s="49"/>
      <c r="N819" s="31" t="str">
        <f>IF((D819&lt;=D808)*AND(E819&lt;=E808)*AND(F819&lt;=F808)*AND(G819&lt;=G808)*AND(H819&lt;=H808)*AND(I819&lt;=I808)*AND(K819&lt;=K808)*AND(L819&lt;=L808)*AND(M819&lt;=M808)*AND(J819&lt;=J808),"Выполнено","ПРОВЕРИТЬ (таких муниципальных образований не может быть больше  числа муниципальных образований с ТОСами)")</f>
        <v>Выполнено</v>
      </c>
      <c r="O819" s="31" t="str">
        <f>IF(((D819=0)),"   ","Нужно заполнить пункт 66 текстовой части - о ТОСах, использующих бюджетные средства по соглашениям с муниципалитетами")</f>
        <v xml:space="preserve">   </v>
      </c>
      <c r="P819" s="114"/>
    </row>
    <row r="820" spans="2:16" ht="43.2" hidden="1" x14ac:dyDescent="0.3">
      <c r="B820" s="21" t="s">
        <v>1450</v>
      </c>
      <c r="C820" s="1" t="s">
        <v>1451</v>
      </c>
      <c r="D820" s="28">
        <f t="shared" si="168"/>
        <v>0</v>
      </c>
      <c r="E820" s="29"/>
      <c r="F820" s="29"/>
      <c r="G820" s="29"/>
      <c r="H820" s="29"/>
      <c r="I820" s="29"/>
      <c r="J820" s="29"/>
      <c r="K820" s="29"/>
      <c r="L820" s="29"/>
      <c r="M820" s="29"/>
      <c r="N820" s="31" t="str">
        <f>IF((D819&lt;=D820)*AND(E819&lt;=E820)*AND(F819&lt;=F820)*AND(G819&lt;=G820)*AND(H819&lt;=H820)*AND(I819&lt;=I820)*AND(K819&lt;=K820)*AND(L819&lt;=L820)*AND(M819&lt;=M820)*AND(J819&lt;=J820),"Выполнено","ПРОВЕРИТЬ (ТОСов, сотрудничающих с муниципалитетами, не может быть меньше чем муниципалитетов, сотрудничающих с ТОСами)")</f>
        <v>Выполнено</v>
      </c>
      <c r="O820" s="25"/>
      <c r="P820" s="52"/>
    </row>
    <row r="821" spans="2:16" x14ac:dyDescent="0.3">
      <c r="B821" s="93" t="s">
        <v>1452</v>
      </c>
      <c r="C821" s="22" t="s">
        <v>1453</v>
      </c>
      <c r="D821" s="23"/>
      <c r="E821" s="24"/>
      <c r="F821" s="24"/>
      <c r="G821" s="24"/>
      <c r="H821" s="24"/>
      <c r="I821" s="24"/>
      <c r="J821" s="24"/>
      <c r="K821" s="24"/>
      <c r="L821" s="24"/>
      <c r="M821" s="24"/>
      <c r="N821" s="25"/>
      <c r="O821" s="25"/>
      <c r="P821" s="52"/>
    </row>
    <row r="822" spans="2:16" s="14" customFormat="1" ht="28.8" x14ac:dyDescent="0.3">
      <c r="B822" s="82" t="s">
        <v>1454</v>
      </c>
      <c r="C822" s="1" t="s">
        <v>1455</v>
      </c>
      <c r="D822" s="23"/>
      <c r="E822" s="24"/>
      <c r="F822" s="24"/>
      <c r="G822" s="24"/>
      <c r="H822" s="24"/>
      <c r="I822" s="24"/>
      <c r="J822" s="24"/>
      <c r="K822" s="24"/>
      <c r="L822" s="24"/>
      <c r="M822" s="24"/>
      <c r="N822" s="25"/>
      <c r="O822" s="25"/>
      <c r="P822" s="90"/>
    </row>
    <row r="823" spans="2:16" s="14" customFormat="1" x14ac:dyDescent="0.3">
      <c r="B823" s="82" t="s">
        <v>1456</v>
      </c>
      <c r="C823" s="1" t="s">
        <v>1457</v>
      </c>
      <c r="D823" s="28">
        <f t="shared" ref="D823:D825" si="169">SUM(E823:I823)+SUM(K823:M823)</f>
        <v>0</v>
      </c>
      <c r="E823" s="29"/>
      <c r="F823" s="29">
        <v>0</v>
      </c>
      <c r="G823" s="29"/>
      <c r="H823" s="29"/>
      <c r="I823" s="29"/>
      <c r="J823" s="29"/>
      <c r="K823" s="29"/>
      <c r="L823" s="29"/>
      <c r="M823" s="53"/>
      <c r="N823" s="31" t="str">
        <f>IF((D823&lt;=D$10)*AND(E823&lt;=E$10)*AND(F823&lt;=F$10)*AND(G823&lt;=G$10)*AND(H823&lt;=H$10)*AND(I823&lt;=I$10)*AND(K823&lt;=K$10)*AND(L823&lt;=L$10)*AND(M823&lt;=M$10)*AND(J823&lt;=J$10),"Выполнено","ПРОВЕРИТЬ (таких муниципальных образований не может быть больше их общего числа)")</f>
        <v>Выполнено</v>
      </c>
      <c r="O823" s="25"/>
      <c r="P823" s="114"/>
    </row>
    <row r="824" spans="2:16" s="14" customFormat="1" ht="28.8" x14ac:dyDescent="0.3">
      <c r="B824" s="82" t="s">
        <v>1458</v>
      </c>
      <c r="C824" s="1" t="s">
        <v>1459</v>
      </c>
      <c r="D824" s="28">
        <f t="shared" si="169"/>
        <v>0</v>
      </c>
      <c r="E824" s="29"/>
      <c r="F824" s="29">
        <v>0</v>
      </c>
      <c r="G824" s="29"/>
      <c r="H824" s="29"/>
      <c r="I824" s="29"/>
      <c r="J824" s="29"/>
      <c r="K824" s="29"/>
      <c r="L824" s="29"/>
      <c r="M824" s="53"/>
      <c r="N824" s="31" t="str">
        <f>IF((D824&lt;=D$10)*AND(E824&lt;=E$10)*AND(F824&lt;=F$10)*AND(G824&lt;=G$10)*AND(H824&lt;=H$10)*AND(I824&lt;=I$10)*AND(K824&lt;=K$10)*AND(L824&lt;=L$10)*AND(M824&lt;=M$10)*AND(J824&lt;=J$10),"Выполнено","ПРОВЕРИТЬ (таких муниципальных образований не может быть больше их общего числа)")</f>
        <v>Выполнено</v>
      </c>
      <c r="O824" s="31" t="str">
        <f>IF((E824&gt;=((F824+G824)/3000))*AND(K824&gt;=(L824/100)),"   ","Подсказка - если есть поселения со старостами, значит есть и районы со старостами, это же применимо и к гор.округам с делением")</f>
        <v xml:space="preserve">   </v>
      </c>
      <c r="P824" s="114"/>
    </row>
    <row r="825" spans="2:16" s="14" customFormat="1" ht="28.8" x14ac:dyDescent="0.3">
      <c r="B825" s="82" t="s">
        <v>1460</v>
      </c>
      <c r="C825" s="1" t="s">
        <v>1461</v>
      </c>
      <c r="D825" s="28">
        <f t="shared" si="169"/>
        <v>0</v>
      </c>
      <c r="E825" s="29"/>
      <c r="F825" s="29">
        <v>0</v>
      </c>
      <c r="G825" s="29"/>
      <c r="H825" s="29"/>
      <c r="I825" s="29"/>
      <c r="J825" s="29"/>
      <c r="K825" s="29"/>
      <c r="L825" s="29"/>
      <c r="M825" s="53"/>
      <c r="N825" s="30"/>
      <c r="O825" s="31" t="str">
        <f>IF((D825&lt;=D824)*AND(E825&lt;=E824)*AND(F825&lt;=F824)*AND(G825&lt;=G824)*AND(H825&lt;=H824)*AND(I825&lt;=I824)*AND(K825&lt;=K824)*AND(L825&lt;=L824)*AND(M825&lt;=M824)*AND(J825&lt;=J824),"   ","Подсказка - вряд ли таких старост больше чем действующих старост")</f>
        <v xml:space="preserve">   </v>
      </c>
      <c r="P825" s="114"/>
    </row>
    <row r="826" spans="2:16" s="14" customFormat="1" ht="28.8" x14ac:dyDescent="0.3">
      <c r="B826" s="82" t="s">
        <v>1462</v>
      </c>
      <c r="C826" s="1" t="s">
        <v>1463</v>
      </c>
      <c r="D826" s="28">
        <f>SUM(D827:D829)</f>
        <v>0</v>
      </c>
      <c r="E826" s="24"/>
      <c r="F826" s="24">
        <v>0</v>
      </c>
      <c r="G826" s="24"/>
      <c r="H826" s="24"/>
      <c r="I826" s="24"/>
      <c r="J826" s="24"/>
      <c r="K826" s="24"/>
      <c r="L826" s="24"/>
      <c r="M826" s="24"/>
      <c r="N826" s="30"/>
      <c r="O826" s="25"/>
      <c r="P826" s="114"/>
    </row>
    <row r="827" spans="2:16" s="14" customFormat="1" ht="28.8" x14ac:dyDescent="0.3">
      <c r="B827" s="82" t="s">
        <v>1464</v>
      </c>
      <c r="C827" s="150" t="s">
        <v>1438</v>
      </c>
      <c r="D827" s="28">
        <f>SUM(F827:I827)</f>
        <v>0</v>
      </c>
      <c r="E827" s="64"/>
      <c r="F827" s="29">
        <v>0</v>
      </c>
      <c r="G827" s="29"/>
      <c r="H827" s="29"/>
      <c r="I827" s="29"/>
      <c r="J827" s="29"/>
      <c r="K827" s="24"/>
      <c r="L827" s="24"/>
      <c r="M827" s="24"/>
      <c r="N827" s="31" t="str">
        <f>IF((F827&gt;=F824)*AND(G827&gt;=G824)*AND(H827&gt;=H824)*AND(I827&gt;=I824),"Выполнено","ПРОВЕРИТЬ (старост в муниципальных образованиях не может быть меньше чем муниципальных образований соответствующего вида со старостами)")</f>
        <v>Выполнено</v>
      </c>
      <c r="O827" s="25"/>
      <c r="P827" s="114"/>
    </row>
    <row r="828" spans="2:16" s="14" customFormat="1" x14ac:dyDescent="0.3">
      <c r="B828" s="82" t="s">
        <v>1465</v>
      </c>
      <c r="C828" s="1" t="s">
        <v>1440</v>
      </c>
      <c r="D828" s="28">
        <f>E828</f>
        <v>0</v>
      </c>
      <c r="E828" s="29"/>
      <c r="F828" s="24">
        <v>0</v>
      </c>
      <c r="G828" s="24"/>
      <c r="H828" s="24"/>
      <c r="I828" s="24"/>
      <c r="J828" s="55"/>
      <c r="K828" s="24"/>
      <c r="L828" s="24"/>
      <c r="M828" s="24"/>
      <c r="N828" s="30"/>
      <c r="O828" s="30"/>
      <c r="P828" s="114"/>
    </row>
    <row r="829" spans="2:16" s="14" customFormat="1" ht="43.2" x14ac:dyDescent="0.3">
      <c r="B829" s="82" t="s">
        <v>1466</v>
      </c>
      <c r="C829" s="1" t="s">
        <v>1442</v>
      </c>
      <c r="D829" s="28">
        <f>L829+M829</f>
        <v>0</v>
      </c>
      <c r="E829" s="24"/>
      <c r="F829" s="24">
        <v>0</v>
      </c>
      <c r="G829" s="24"/>
      <c r="H829" s="24"/>
      <c r="I829" s="24"/>
      <c r="J829" s="24"/>
      <c r="K829" s="24"/>
      <c r="L829" s="53"/>
      <c r="M829" s="53"/>
      <c r="N829" s="31" t="str">
        <f>IF((L829&gt;=L824)*AND(M829&gt;=M824),"Выполнено","ПРОВЕРИТЬ (старост в муниципальных образованиях не может быть меньше чем муниципальных образований соответствующего вида со старостами)")</f>
        <v>Выполнено</v>
      </c>
      <c r="O829" s="30"/>
      <c r="P829" s="114"/>
    </row>
    <row r="830" spans="2:16" s="14" customFormat="1" ht="43.2" x14ac:dyDescent="0.3">
      <c r="B830" s="82" t="s">
        <v>1467</v>
      </c>
      <c r="C830" s="1" t="s">
        <v>1468</v>
      </c>
      <c r="D830" s="28">
        <f>SUM(D831:D833)</f>
        <v>0</v>
      </c>
      <c r="E830" s="24"/>
      <c r="F830" s="24">
        <v>0</v>
      </c>
      <c r="G830" s="24"/>
      <c r="H830" s="24"/>
      <c r="I830" s="24"/>
      <c r="J830" s="24"/>
      <c r="K830" s="24"/>
      <c r="L830" s="24"/>
      <c r="M830" s="24"/>
      <c r="N830" s="30"/>
      <c r="O830" s="43"/>
      <c r="P830" s="114"/>
    </row>
    <row r="831" spans="2:16" s="14" customFormat="1" ht="28.8" x14ac:dyDescent="0.3">
      <c r="B831" s="82" t="s">
        <v>1469</v>
      </c>
      <c r="C831" s="150" t="s">
        <v>1438</v>
      </c>
      <c r="D831" s="28">
        <f>SUM(F831:I831)</f>
        <v>0</v>
      </c>
      <c r="E831" s="64"/>
      <c r="F831" s="29">
        <v>0</v>
      </c>
      <c r="G831" s="29"/>
      <c r="H831" s="29"/>
      <c r="I831" s="29"/>
      <c r="J831" s="29"/>
      <c r="K831" s="24"/>
      <c r="L831" s="24"/>
      <c r="M831" s="24"/>
      <c r="N831" s="30"/>
      <c r="O831" s="31" t="str">
        <f>IF((F831&lt;=F827)*AND(G831&lt;=G827)*AND(H831&lt;=H827)*AND(I831&lt;=I827),"   ","Подсказка - вряд ли таких старост больше чем действующих старост")</f>
        <v xml:space="preserve">   </v>
      </c>
      <c r="P831" s="114"/>
    </row>
    <row r="832" spans="2:16" s="14" customFormat="1" x14ac:dyDescent="0.3">
      <c r="B832" s="82" t="s">
        <v>1470</v>
      </c>
      <c r="C832" s="1" t="s">
        <v>1440</v>
      </c>
      <c r="D832" s="28">
        <f>E832</f>
        <v>0</v>
      </c>
      <c r="E832" s="29"/>
      <c r="F832" s="24">
        <v>0</v>
      </c>
      <c r="G832" s="24"/>
      <c r="H832" s="24"/>
      <c r="I832" s="24"/>
      <c r="J832" s="55"/>
      <c r="K832" s="24"/>
      <c r="L832" s="24"/>
      <c r="M832" s="24"/>
      <c r="N832" s="30"/>
      <c r="O832" s="43"/>
      <c r="P832" s="114"/>
    </row>
    <row r="833" spans="2:16" s="14" customFormat="1" ht="43.2" x14ac:dyDescent="0.3">
      <c r="B833" s="82" t="s">
        <v>1471</v>
      </c>
      <c r="C833" s="1" t="s">
        <v>1442</v>
      </c>
      <c r="D833" s="35">
        <f>L833+M833</f>
        <v>0</v>
      </c>
      <c r="E833" s="60"/>
      <c r="F833" s="60">
        <v>0</v>
      </c>
      <c r="G833" s="60"/>
      <c r="H833" s="60"/>
      <c r="I833" s="60"/>
      <c r="J833" s="60"/>
      <c r="K833" s="60"/>
      <c r="L833" s="146"/>
      <c r="M833" s="146"/>
      <c r="N833" s="30"/>
      <c r="O833" s="31" t="str">
        <f>IF((L833&lt;=L829)*AND(M833&lt;=M829)*AND(J833&lt;=J829),"   ","Подсказка - вряд ли таких старост больше чем действующих старост")</f>
        <v xml:space="preserve">   </v>
      </c>
      <c r="P833" s="114"/>
    </row>
    <row r="834" spans="2:16" s="14" customFormat="1" ht="43.2" x14ac:dyDescent="0.3">
      <c r="B834" s="82" t="s">
        <v>1472</v>
      </c>
      <c r="C834" s="22" t="s">
        <v>1473</v>
      </c>
      <c r="D834" s="151"/>
      <c r="E834" s="60"/>
      <c r="F834" s="60"/>
      <c r="G834" s="60"/>
      <c r="H834" s="60"/>
      <c r="I834" s="60"/>
      <c r="J834" s="60"/>
      <c r="K834" s="60"/>
      <c r="L834" s="41"/>
      <c r="M834" s="41"/>
      <c r="N834" s="152"/>
      <c r="O834" s="43"/>
      <c r="P834" s="114"/>
    </row>
    <row r="835" spans="2:16" s="14" customFormat="1" ht="28.8" x14ac:dyDescent="0.3">
      <c r="B835" s="82" t="s">
        <v>1474</v>
      </c>
      <c r="C835" s="1" t="s">
        <v>1475</v>
      </c>
      <c r="D835" s="40"/>
      <c r="E835" s="24"/>
      <c r="F835" s="24"/>
      <c r="G835" s="24"/>
      <c r="H835" s="24"/>
      <c r="I835" s="24"/>
      <c r="J835" s="24"/>
      <c r="K835" s="24"/>
      <c r="L835" s="46"/>
      <c r="M835" s="46"/>
      <c r="N835" s="43"/>
      <c r="O835" s="43"/>
      <c r="P835" s="114"/>
    </row>
    <row r="836" spans="2:16" s="14" customFormat="1" ht="28.8" x14ac:dyDescent="0.3">
      <c r="B836" s="82" t="s">
        <v>1476</v>
      </c>
      <c r="C836" s="1" t="s">
        <v>1477</v>
      </c>
      <c r="D836" s="28">
        <f t="shared" ref="D836:D878" si="170">SUM(E836:I836)+SUM(K836:M836)</f>
        <v>25</v>
      </c>
      <c r="E836" s="50">
        <f t="shared" ref="E836:M836" si="171">SUM(E837,E838)</f>
        <v>0</v>
      </c>
      <c r="F836" s="50">
        <f t="shared" si="171"/>
        <v>25</v>
      </c>
      <c r="G836" s="50">
        <f t="shared" si="171"/>
        <v>0</v>
      </c>
      <c r="H836" s="50">
        <f t="shared" si="171"/>
        <v>0</v>
      </c>
      <c r="I836" s="50">
        <f t="shared" si="171"/>
        <v>0</v>
      </c>
      <c r="J836" s="50">
        <f t="shared" si="171"/>
        <v>0</v>
      </c>
      <c r="K836" s="50">
        <f t="shared" si="171"/>
        <v>0</v>
      </c>
      <c r="L836" s="50">
        <f t="shared" si="171"/>
        <v>0</v>
      </c>
      <c r="M836" s="50">
        <f t="shared" si="171"/>
        <v>0</v>
      </c>
      <c r="N836" s="153"/>
      <c r="O836" s="43"/>
      <c r="P836" s="114"/>
    </row>
    <row r="837" spans="2:16" s="14" customFormat="1" ht="28.8" x14ac:dyDescent="0.3">
      <c r="B837" s="82" t="s">
        <v>1478</v>
      </c>
      <c r="C837" s="1" t="s">
        <v>1479</v>
      </c>
      <c r="D837" s="28">
        <f t="shared" si="170"/>
        <v>25</v>
      </c>
      <c r="E837" s="121"/>
      <c r="F837" s="121">
        <v>25</v>
      </c>
      <c r="G837" s="121"/>
      <c r="H837" s="121"/>
      <c r="I837" s="121"/>
      <c r="J837" s="121"/>
      <c r="K837" s="121"/>
      <c r="L837" s="29"/>
      <c r="M837" s="29"/>
      <c r="N837" s="153"/>
      <c r="O837" s="43"/>
      <c r="P837" s="114"/>
    </row>
    <row r="838" spans="2:16" s="14" customFormat="1" ht="43.2" x14ac:dyDescent="0.3">
      <c r="B838" s="82" t="s">
        <v>1480</v>
      </c>
      <c r="C838" s="1" t="s">
        <v>1481</v>
      </c>
      <c r="D838" s="28">
        <f t="shared" si="170"/>
        <v>0</v>
      </c>
      <c r="E838" s="121"/>
      <c r="F838" s="121">
        <v>0</v>
      </c>
      <c r="G838" s="121"/>
      <c r="H838" s="121"/>
      <c r="I838" s="121"/>
      <c r="J838" s="121"/>
      <c r="K838" s="121"/>
      <c r="L838" s="29"/>
      <c r="M838" s="29"/>
      <c r="N838" s="153"/>
      <c r="O838" s="43"/>
      <c r="P838" s="114"/>
    </row>
    <row r="839" spans="2:16" s="14" customFormat="1" ht="43.2" x14ac:dyDescent="0.3">
      <c r="B839" s="82" t="s">
        <v>1482</v>
      </c>
      <c r="C839" s="1" t="s">
        <v>1483</v>
      </c>
      <c r="D839" s="28">
        <f t="shared" si="170"/>
        <v>0</v>
      </c>
      <c r="E839" s="50">
        <f t="shared" ref="E839:M839" si="172">SUM(E840,E841)</f>
        <v>0</v>
      </c>
      <c r="F839" s="50">
        <f t="shared" si="172"/>
        <v>0</v>
      </c>
      <c r="G839" s="50">
        <f t="shared" si="172"/>
        <v>0</v>
      </c>
      <c r="H839" s="50">
        <f t="shared" si="172"/>
        <v>0</v>
      </c>
      <c r="I839" s="50">
        <f t="shared" si="172"/>
        <v>0</v>
      </c>
      <c r="J839" s="50">
        <f t="shared" si="172"/>
        <v>0</v>
      </c>
      <c r="K839" s="50">
        <f t="shared" si="172"/>
        <v>0</v>
      </c>
      <c r="L839" s="50">
        <f t="shared" si="172"/>
        <v>0</v>
      </c>
      <c r="M839" s="50">
        <f t="shared" si="172"/>
        <v>0</v>
      </c>
      <c r="N839" s="43"/>
      <c r="O839" s="43"/>
      <c r="P839" s="114"/>
    </row>
    <row r="840" spans="2:16" s="14" customFormat="1" ht="43.2" x14ac:dyDescent="0.3">
      <c r="B840" s="82" t="s">
        <v>1484</v>
      </c>
      <c r="C840" s="1" t="s">
        <v>1485</v>
      </c>
      <c r="D840" s="28">
        <f t="shared" si="170"/>
        <v>0</v>
      </c>
      <c r="E840" s="121"/>
      <c r="F840" s="121">
        <v>0</v>
      </c>
      <c r="G840" s="121"/>
      <c r="H840" s="121"/>
      <c r="I840" s="121"/>
      <c r="J840" s="121"/>
      <c r="K840" s="121"/>
      <c r="L840" s="29"/>
      <c r="M840" s="29"/>
      <c r="N840" s="153"/>
      <c r="O840" s="43"/>
      <c r="P840" s="114"/>
    </row>
    <row r="841" spans="2:16" s="14" customFormat="1" ht="57.6" x14ac:dyDescent="0.3">
      <c r="B841" s="82" t="s">
        <v>1486</v>
      </c>
      <c r="C841" s="1" t="s">
        <v>1487</v>
      </c>
      <c r="D841" s="28">
        <f t="shared" si="170"/>
        <v>0</v>
      </c>
      <c r="E841" s="121"/>
      <c r="F841" s="121">
        <v>0</v>
      </c>
      <c r="G841" s="121"/>
      <c r="H841" s="121"/>
      <c r="I841" s="121"/>
      <c r="J841" s="121"/>
      <c r="K841" s="121"/>
      <c r="L841" s="29"/>
      <c r="M841" s="29"/>
      <c r="N841" s="153"/>
      <c r="O841" s="43"/>
      <c r="P841" s="114"/>
    </row>
    <row r="842" spans="2:16" s="14" customFormat="1" ht="43.2" x14ac:dyDescent="0.3">
      <c r="B842" s="82" t="s">
        <v>1488</v>
      </c>
      <c r="C842" s="154" t="s">
        <v>1489</v>
      </c>
      <c r="D842" s="28">
        <f t="shared" si="170"/>
        <v>0</v>
      </c>
      <c r="E842" s="50">
        <f t="shared" ref="E842:M842" si="173">SUM(E843,E844)</f>
        <v>0</v>
      </c>
      <c r="F842" s="50">
        <f t="shared" si="173"/>
        <v>0</v>
      </c>
      <c r="G842" s="50">
        <f t="shared" si="173"/>
        <v>0</v>
      </c>
      <c r="H842" s="50">
        <f t="shared" si="173"/>
        <v>0</v>
      </c>
      <c r="I842" s="50">
        <f t="shared" si="173"/>
        <v>0</v>
      </c>
      <c r="J842" s="50">
        <f t="shared" si="173"/>
        <v>0</v>
      </c>
      <c r="K842" s="50">
        <f t="shared" si="173"/>
        <v>0</v>
      </c>
      <c r="L842" s="50">
        <f t="shared" si="173"/>
        <v>0</v>
      </c>
      <c r="M842" s="50">
        <f t="shared" si="173"/>
        <v>0</v>
      </c>
      <c r="N842" s="43"/>
      <c r="O842" s="43"/>
      <c r="P842" s="114"/>
    </row>
    <row r="843" spans="2:16" s="14" customFormat="1" ht="43.2" x14ac:dyDescent="0.3">
      <c r="B843" s="82" t="s">
        <v>1490</v>
      </c>
      <c r="C843" s="1" t="s">
        <v>1491</v>
      </c>
      <c r="D843" s="28">
        <f t="shared" si="170"/>
        <v>0</v>
      </c>
      <c r="E843" s="121"/>
      <c r="F843" s="121">
        <v>0</v>
      </c>
      <c r="G843" s="121"/>
      <c r="H843" s="121"/>
      <c r="I843" s="121"/>
      <c r="J843" s="121"/>
      <c r="K843" s="121"/>
      <c r="L843" s="29"/>
      <c r="M843" s="29"/>
      <c r="N843" s="153"/>
      <c r="O843" s="43"/>
      <c r="P843" s="114"/>
    </row>
    <row r="844" spans="2:16" s="14" customFormat="1" ht="57.6" x14ac:dyDescent="0.3">
      <c r="B844" s="82" t="s">
        <v>1492</v>
      </c>
      <c r="C844" s="1" t="s">
        <v>1493</v>
      </c>
      <c r="D844" s="28">
        <f t="shared" si="170"/>
        <v>0</v>
      </c>
      <c r="E844" s="121"/>
      <c r="F844" s="121">
        <v>0</v>
      </c>
      <c r="G844" s="121"/>
      <c r="H844" s="121"/>
      <c r="I844" s="121"/>
      <c r="J844" s="121"/>
      <c r="K844" s="121"/>
      <c r="L844" s="29"/>
      <c r="M844" s="29"/>
      <c r="N844" s="153"/>
      <c r="O844" s="43"/>
      <c r="P844" s="114"/>
    </row>
    <row r="845" spans="2:16" s="14" customFormat="1" ht="43.2" x14ac:dyDescent="0.3">
      <c r="B845" s="82" t="s">
        <v>1494</v>
      </c>
      <c r="C845" s="154" t="s">
        <v>1495</v>
      </c>
      <c r="D845" s="28">
        <f t="shared" si="170"/>
        <v>0</v>
      </c>
      <c r="E845" s="50">
        <f t="shared" ref="E845:M845" si="174">SUM(E846,E847)</f>
        <v>0</v>
      </c>
      <c r="F845" s="50">
        <f t="shared" si="174"/>
        <v>0</v>
      </c>
      <c r="G845" s="50">
        <f t="shared" si="174"/>
        <v>0</v>
      </c>
      <c r="H845" s="50">
        <f t="shared" si="174"/>
        <v>0</v>
      </c>
      <c r="I845" s="50">
        <f t="shared" si="174"/>
        <v>0</v>
      </c>
      <c r="J845" s="50">
        <f t="shared" si="174"/>
        <v>0</v>
      </c>
      <c r="K845" s="50">
        <f t="shared" si="174"/>
        <v>0</v>
      </c>
      <c r="L845" s="50">
        <f t="shared" si="174"/>
        <v>0</v>
      </c>
      <c r="M845" s="50">
        <f t="shared" si="174"/>
        <v>0</v>
      </c>
      <c r="N845" s="43"/>
      <c r="O845" s="43"/>
      <c r="P845" s="114"/>
    </row>
    <row r="846" spans="2:16" s="14" customFormat="1" ht="43.2" x14ac:dyDescent="0.3">
      <c r="B846" s="82" t="s">
        <v>1496</v>
      </c>
      <c r="C846" s="1" t="s">
        <v>1497</v>
      </c>
      <c r="D846" s="28">
        <f t="shared" si="170"/>
        <v>0</v>
      </c>
      <c r="E846" s="121"/>
      <c r="F846" s="121">
        <v>0</v>
      </c>
      <c r="G846" s="121"/>
      <c r="H846" s="121"/>
      <c r="I846" s="121"/>
      <c r="J846" s="121"/>
      <c r="K846" s="121"/>
      <c r="L846" s="29"/>
      <c r="M846" s="29"/>
      <c r="N846" s="153"/>
      <c r="O846" s="43"/>
      <c r="P846" s="114"/>
    </row>
    <row r="847" spans="2:16" s="14" customFormat="1" ht="57.6" x14ac:dyDescent="0.3">
      <c r="B847" s="82" t="s">
        <v>1498</v>
      </c>
      <c r="C847" s="1" t="s">
        <v>1499</v>
      </c>
      <c r="D847" s="28">
        <f t="shared" si="170"/>
        <v>0</v>
      </c>
      <c r="E847" s="121"/>
      <c r="F847" s="121">
        <v>0</v>
      </c>
      <c r="G847" s="121"/>
      <c r="H847" s="121"/>
      <c r="I847" s="121"/>
      <c r="J847" s="121"/>
      <c r="K847" s="121"/>
      <c r="L847" s="29"/>
      <c r="M847" s="29"/>
      <c r="N847" s="153"/>
      <c r="O847" s="43"/>
      <c r="P847" s="114"/>
    </row>
    <row r="848" spans="2:16" s="14" customFormat="1" ht="43.2" x14ac:dyDescent="0.3">
      <c r="B848" s="82" t="s">
        <v>1500</v>
      </c>
      <c r="C848" s="1" t="s">
        <v>1501</v>
      </c>
      <c r="D848" s="28">
        <f t="shared" si="170"/>
        <v>0</v>
      </c>
      <c r="E848" s="50">
        <f t="shared" ref="E848:M848" si="175">SUM(E849,E850)</f>
        <v>0</v>
      </c>
      <c r="F848" s="50">
        <f t="shared" si="175"/>
        <v>0</v>
      </c>
      <c r="G848" s="50">
        <f t="shared" si="175"/>
        <v>0</v>
      </c>
      <c r="H848" s="50">
        <f t="shared" si="175"/>
        <v>0</v>
      </c>
      <c r="I848" s="50">
        <f t="shared" si="175"/>
        <v>0</v>
      </c>
      <c r="J848" s="50">
        <f t="shared" si="175"/>
        <v>0</v>
      </c>
      <c r="K848" s="50">
        <f t="shared" si="175"/>
        <v>0</v>
      </c>
      <c r="L848" s="50">
        <f t="shared" si="175"/>
        <v>0</v>
      </c>
      <c r="M848" s="50">
        <f t="shared" si="175"/>
        <v>0</v>
      </c>
      <c r="N848" s="43"/>
      <c r="O848" s="43"/>
      <c r="P848" s="114"/>
    </row>
    <row r="849" spans="2:16" s="14" customFormat="1" ht="43.2" x14ac:dyDescent="0.3">
      <c r="B849" s="82" t="s">
        <v>1502</v>
      </c>
      <c r="C849" s="1" t="s">
        <v>1503</v>
      </c>
      <c r="D849" s="28">
        <f t="shared" si="170"/>
        <v>0</v>
      </c>
      <c r="E849" s="121"/>
      <c r="F849" s="121">
        <v>0</v>
      </c>
      <c r="G849" s="121"/>
      <c r="H849" s="121"/>
      <c r="I849" s="121"/>
      <c r="J849" s="121"/>
      <c r="K849" s="121"/>
      <c r="L849" s="29"/>
      <c r="M849" s="29"/>
      <c r="N849" s="153"/>
      <c r="O849" s="43"/>
      <c r="P849" s="114"/>
    </row>
    <row r="850" spans="2:16" s="14" customFormat="1" ht="57.6" x14ac:dyDescent="0.3">
      <c r="B850" s="82" t="s">
        <v>1504</v>
      </c>
      <c r="C850" s="1" t="s">
        <v>1505</v>
      </c>
      <c r="D850" s="28">
        <f t="shared" si="170"/>
        <v>0</v>
      </c>
      <c r="E850" s="121"/>
      <c r="F850" s="121">
        <v>0</v>
      </c>
      <c r="G850" s="121"/>
      <c r="H850" s="121"/>
      <c r="I850" s="121"/>
      <c r="J850" s="121"/>
      <c r="K850" s="121"/>
      <c r="L850" s="29"/>
      <c r="M850" s="29"/>
      <c r="N850" s="153"/>
      <c r="O850" s="43"/>
      <c r="P850" s="114"/>
    </row>
    <row r="851" spans="2:16" s="14" customFormat="1" ht="43.2" x14ac:dyDescent="0.3">
      <c r="B851" s="82" t="s">
        <v>1506</v>
      </c>
      <c r="C851" s="1" t="s">
        <v>1507</v>
      </c>
      <c r="D851" s="28">
        <f t="shared" si="170"/>
        <v>0</v>
      </c>
      <c r="E851" s="50">
        <f t="shared" ref="E851:M851" si="176">SUM(E852,E853)</f>
        <v>0</v>
      </c>
      <c r="F851" s="50">
        <f t="shared" si="176"/>
        <v>0</v>
      </c>
      <c r="G851" s="50">
        <f t="shared" si="176"/>
        <v>0</v>
      </c>
      <c r="H851" s="50">
        <f t="shared" si="176"/>
        <v>0</v>
      </c>
      <c r="I851" s="50">
        <f t="shared" si="176"/>
        <v>0</v>
      </c>
      <c r="J851" s="50">
        <f t="shared" si="176"/>
        <v>0</v>
      </c>
      <c r="K851" s="50">
        <f t="shared" si="176"/>
        <v>0</v>
      </c>
      <c r="L851" s="50">
        <f t="shared" si="176"/>
        <v>0</v>
      </c>
      <c r="M851" s="50">
        <f t="shared" si="176"/>
        <v>0</v>
      </c>
      <c r="N851" s="43"/>
      <c r="O851" s="43"/>
      <c r="P851" s="114"/>
    </row>
    <row r="852" spans="2:16" s="14" customFormat="1" ht="43.2" x14ac:dyDescent="0.3">
      <c r="B852" s="82" t="s">
        <v>1508</v>
      </c>
      <c r="C852" s="1" t="s">
        <v>1509</v>
      </c>
      <c r="D852" s="28">
        <f t="shared" si="170"/>
        <v>0</v>
      </c>
      <c r="E852" s="121"/>
      <c r="F852" s="121">
        <v>0</v>
      </c>
      <c r="G852" s="121"/>
      <c r="H852" s="121"/>
      <c r="I852" s="121"/>
      <c r="J852" s="121"/>
      <c r="K852" s="121"/>
      <c r="L852" s="29"/>
      <c r="M852" s="29"/>
      <c r="N852" s="153"/>
      <c r="O852" s="43"/>
      <c r="P852" s="114"/>
    </row>
    <row r="853" spans="2:16" s="14" customFormat="1" ht="57.6" x14ac:dyDescent="0.3">
      <c r="B853" s="82" t="s">
        <v>1510</v>
      </c>
      <c r="C853" s="1" t="s">
        <v>1511</v>
      </c>
      <c r="D853" s="28">
        <f t="shared" si="170"/>
        <v>0</v>
      </c>
      <c r="E853" s="121"/>
      <c r="F853" s="121">
        <v>0</v>
      </c>
      <c r="G853" s="121"/>
      <c r="H853" s="121"/>
      <c r="I853" s="121"/>
      <c r="J853" s="121"/>
      <c r="K853" s="121"/>
      <c r="L853" s="29"/>
      <c r="M853" s="29"/>
      <c r="N853" s="153"/>
      <c r="O853" s="43"/>
      <c r="P853" s="114"/>
    </row>
    <row r="854" spans="2:16" s="14" customFormat="1" ht="57.6" x14ac:dyDescent="0.3">
      <c r="B854" s="82" t="s">
        <v>1512</v>
      </c>
      <c r="C854" s="1" t="s">
        <v>1513</v>
      </c>
      <c r="D854" s="28">
        <f t="shared" si="170"/>
        <v>0</v>
      </c>
      <c r="E854" s="121"/>
      <c r="F854" s="121">
        <v>0</v>
      </c>
      <c r="G854" s="121"/>
      <c r="H854" s="121"/>
      <c r="I854" s="121"/>
      <c r="J854" s="121"/>
      <c r="K854" s="121"/>
      <c r="L854" s="29"/>
      <c r="M854" s="29"/>
      <c r="N854" s="43"/>
      <c r="O854" s="43"/>
      <c r="P854" s="114"/>
    </row>
    <row r="855" spans="2:16" s="14" customFormat="1" ht="86.4" x14ac:dyDescent="0.3">
      <c r="B855" s="82" t="s">
        <v>1514</v>
      </c>
      <c r="C855" s="1" t="s">
        <v>1515</v>
      </c>
      <c r="D855" s="28">
        <f t="shared" si="170"/>
        <v>0</v>
      </c>
      <c r="E855" s="121"/>
      <c r="F855" s="121">
        <v>0</v>
      </c>
      <c r="G855" s="121"/>
      <c r="H855" s="121"/>
      <c r="I855" s="121"/>
      <c r="J855" s="121"/>
      <c r="K855" s="121"/>
      <c r="L855" s="29"/>
      <c r="M855" s="29"/>
      <c r="N855" s="43"/>
      <c r="O855" s="43"/>
      <c r="P855" s="114"/>
    </row>
    <row r="856" spans="2:16" s="14" customFormat="1" ht="43.2" x14ac:dyDescent="0.3">
      <c r="B856" s="82" t="s">
        <v>1516</v>
      </c>
      <c r="C856" s="1" t="s">
        <v>1517</v>
      </c>
      <c r="D856" s="28">
        <f t="shared" si="170"/>
        <v>0</v>
      </c>
      <c r="E856" s="121"/>
      <c r="F856" s="121">
        <v>0</v>
      </c>
      <c r="G856" s="121"/>
      <c r="H856" s="121"/>
      <c r="I856" s="121"/>
      <c r="J856" s="121"/>
      <c r="K856" s="121"/>
      <c r="L856" s="29"/>
      <c r="M856" s="29"/>
      <c r="N856" s="43"/>
      <c r="O856" s="43"/>
      <c r="P856" s="114"/>
    </row>
    <row r="857" spans="2:16" s="14" customFormat="1" ht="57.6" x14ac:dyDescent="0.3">
      <c r="B857" s="82" t="s">
        <v>1518</v>
      </c>
      <c r="C857" s="1" t="s">
        <v>1519</v>
      </c>
      <c r="D857" s="28">
        <f t="shared" si="170"/>
        <v>0</v>
      </c>
      <c r="E857" s="121"/>
      <c r="F857" s="121">
        <v>0</v>
      </c>
      <c r="G857" s="121"/>
      <c r="H857" s="121"/>
      <c r="I857" s="121"/>
      <c r="J857" s="121"/>
      <c r="K857" s="121"/>
      <c r="L857" s="29"/>
      <c r="M857" s="29"/>
      <c r="N857" s="43"/>
      <c r="O857" s="43"/>
      <c r="P857" s="114"/>
    </row>
    <row r="858" spans="2:16" s="14" customFormat="1" ht="72" x14ac:dyDescent="0.3">
      <c r="B858" s="82" t="s">
        <v>1520</v>
      </c>
      <c r="C858" s="1" t="s">
        <v>1521</v>
      </c>
      <c r="D858" s="28">
        <f t="shared" si="170"/>
        <v>0</v>
      </c>
      <c r="E858" s="121"/>
      <c r="F858" s="121">
        <v>0</v>
      </c>
      <c r="G858" s="121"/>
      <c r="H858" s="121"/>
      <c r="I858" s="121"/>
      <c r="J858" s="121"/>
      <c r="K858" s="121"/>
      <c r="L858" s="53"/>
      <c r="M858" s="53"/>
      <c r="N858" s="30"/>
      <c r="O858" s="30"/>
      <c r="P858" s="114"/>
    </row>
    <row r="859" spans="2:16" s="14" customFormat="1" ht="43.2" x14ac:dyDescent="0.3">
      <c r="B859" s="82" t="s">
        <v>1522</v>
      </c>
      <c r="C859" s="1" t="s">
        <v>1523</v>
      </c>
      <c r="D859" s="28">
        <f t="shared" si="170"/>
        <v>0</v>
      </c>
      <c r="E859" s="121"/>
      <c r="F859" s="121">
        <v>0</v>
      </c>
      <c r="G859" s="121"/>
      <c r="H859" s="121"/>
      <c r="I859" s="121"/>
      <c r="J859" s="121"/>
      <c r="K859" s="121"/>
      <c r="L859" s="29"/>
      <c r="M859" s="29"/>
      <c r="N859" s="43"/>
      <c r="O859" s="43"/>
      <c r="P859" s="114"/>
    </row>
    <row r="860" spans="2:16" s="14" customFormat="1" ht="237.75" customHeight="1" x14ac:dyDescent="0.3">
      <c r="B860" s="82" t="s">
        <v>1524</v>
      </c>
      <c r="C860" s="1" t="s">
        <v>1525</v>
      </c>
      <c r="D860" s="28">
        <f t="shared" si="170"/>
        <v>0</v>
      </c>
      <c r="E860" s="50">
        <f t="shared" ref="E860:M860" si="177">SUM(E861,E862,E863,E864)</f>
        <v>0</v>
      </c>
      <c r="F860" s="50">
        <f t="shared" si="177"/>
        <v>0</v>
      </c>
      <c r="G860" s="50">
        <f t="shared" si="177"/>
        <v>0</v>
      </c>
      <c r="H860" s="50">
        <f t="shared" si="177"/>
        <v>0</v>
      </c>
      <c r="I860" s="50">
        <f t="shared" si="177"/>
        <v>0</v>
      </c>
      <c r="J860" s="50">
        <f t="shared" si="177"/>
        <v>0</v>
      </c>
      <c r="K860" s="50">
        <f t="shared" si="177"/>
        <v>0</v>
      </c>
      <c r="L860" s="50">
        <f t="shared" si="177"/>
        <v>0</v>
      </c>
      <c r="M860" s="50">
        <f t="shared" si="177"/>
        <v>0</v>
      </c>
      <c r="N860" s="43"/>
      <c r="O860" s="43"/>
      <c r="P860" s="114"/>
    </row>
    <row r="861" spans="2:16" s="14" customFormat="1" ht="17.25" customHeight="1" x14ac:dyDescent="0.3">
      <c r="B861" s="82" t="s">
        <v>1526</v>
      </c>
      <c r="C861" s="1" t="s">
        <v>1527</v>
      </c>
      <c r="D861" s="28">
        <f t="shared" si="170"/>
        <v>0</v>
      </c>
      <c r="E861" s="121"/>
      <c r="F861" s="121">
        <v>0</v>
      </c>
      <c r="G861" s="121"/>
      <c r="H861" s="121"/>
      <c r="I861" s="121"/>
      <c r="J861" s="121"/>
      <c r="K861" s="121"/>
      <c r="L861" s="29"/>
      <c r="M861" s="29"/>
      <c r="N861" s="43"/>
      <c r="O861" s="43"/>
      <c r="P861" s="114"/>
    </row>
    <row r="862" spans="2:16" s="14" customFormat="1" ht="28.8" x14ac:dyDescent="0.3">
      <c r="B862" s="82" t="s">
        <v>1528</v>
      </c>
      <c r="C862" s="1" t="s">
        <v>1529</v>
      </c>
      <c r="D862" s="28">
        <f t="shared" si="170"/>
        <v>0</v>
      </c>
      <c r="E862" s="121"/>
      <c r="F862" s="121">
        <v>0</v>
      </c>
      <c r="G862" s="121"/>
      <c r="H862" s="121"/>
      <c r="I862" s="121"/>
      <c r="J862" s="121"/>
      <c r="K862" s="121"/>
      <c r="L862" s="29"/>
      <c r="M862" s="29"/>
      <c r="N862" s="43"/>
      <c r="O862" s="43"/>
      <c r="P862" s="114"/>
    </row>
    <row r="863" spans="2:16" s="14" customFormat="1" ht="28.8" x14ac:dyDescent="0.3">
      <c r="B863" s="82" t="s">
        <v>1530</v>
      </c>
      <c r="C863" s="1" t="s">
        <v>1531</v>
      </c>
      <c r="D863" s="28">
        <f t="shared" si="170"/>
        <v>0</v>
      </c>
      <c r="E863" s="121"/>
      <c r="F863" s="121">
        <v>0</v>
      </c>
      <c r="G863" s="121"/>
      <c r="H863" s="121"/>
      <c r="I863" s="121"/>
      <c r="J863" s="121"/>
      <c r="K863" s="121"/>
      <c r="L863" s="29"/>
      <c r="M863" s="29"/>
      <c r="N863" s="43"/>
      <c r="O863" s="43"/>
      <c r="P863" s="114"/>
    </row>
    <row r="864" spans="2:16" s="14" customFormat="1" ht="20.25" customHeight="1" x14ac:dyDescent="0.3">
      <c r="B864" s="33" t="s">
        <v>1532</v>
      </c>
      <c r="C864" s="34" t="s">
        <v>1533</v>
      </c>
      <c r="D864" s="28">
        <f t="shared" si="170"/>
        <v>0</v>
      </c>
      <c r="E864" s="118"/>
      <c r="F864" s="118">
        <v>0</v>
      </c>
      <c r="G864" s="118"/>
      <c r="H864" s="118"/>
      <c r="I864" s="118"/>
      <c r="J864" s="118"/>
      <c r="K864" s="118"/>
      <c r="L864" s="49"/>
      <c r="M864" s="49"/>
      <c r="N864" s="43"/>
      <c r="O864" s="31" t="str">
        <f>IF(((D864=0)),"   ","Нужно заполнить пункт 67 текстовой части - об обращениях о выделении бюджетных ассигнований")</f>
        <v xml:space="preserve">   </v>
      </c>
      <c r="P864" s="114"/>
    </row>
    <row r="865" spans="2:16" s="14" customFormat="1" ht="57.6" x14ac:dyDescent="0.3">
      <c r="B865" s="82" t="s">
        <v>1534</v>
      </c>
      <c r="C865" s="1" t="s">
        <v>1535</v>
      </c>
      <c r="D865" s="28">
        <f t="shared" si="170"/>
        <v>0</v>
      </c>
      <c r="E865" s="121"/>
      <c r="F865" s="121">
        <v>0</v>
      </c>
      <c r="G865" s="121"/>
      <c r="H865" s="121"/>
      <c r="I865" s="121"/>
      <c r="J865" s="121"/>
      <c r="K865" s="121"/>
      <c r="L865" s="29"/>
      <c r="M865" s="29"/>
      <c r="N865" s="43"/>
      <c r="O865" s="43"/>
      <c r="P865" s="114"/>
    </row>
    <row r="866" spans="2:16" s="14" customFormat="1" x14ac:dyDescent="0.3">
      <c r="B866" s="82" t="s">
        <v>1536</v>
      </c>
      <c r="C866" s="1" t="s">
        <v>1537</v>
      </c>
      <c r="D866" s="40"/>
      <c r="E866" s="24"/>
      <c r="F866" s="24"/>
      <c r="G866" s="24"/>
      <c r="H866" s="24"/>
      <c r="I866" s="24"/>
      <c r="J866" s="24"/>
      <c r="K866" s="24"/>
      <c r="L866" s="46"/>
      <c r="M866" s="46"/>
      <c r="N866" s="43"/>
      <c r="O866" s="43"/>
      <c r="P866" s="114"/>
    </row>
    <row r="867" spans="2:16" s="14" customFormat="1" ht="43.2" x14ac:dyDescent="0.3">
      <c r="B867" s="82" t="s">
        <v>1538</v>
      </c>
      <c r="C867" s="1" t="s">
        <v>1539</v>
      </c>
      <c r="D867" s="28">
        <f t="shared" si="170"/>
        <v>2</v>
      </c>
      <c r="E867" s="121"/>
      <c r="F867" s="121">
        <v>2</v>
      </c>
      <c r="G867" s="121"/>
      <c r="H867" s="121"/>
      <c r="I867" s="121"/>
      <c r="J867" s="121"/>
      <c r="K867" s="121"/>
      <c r="L867" s="29"/>
      <c r="M867" s="29"/>
      <c r="N867" s="153"/>
      <c r="O867" s="43"/>
      <c r="P867" s="114"/>
    </row>
    <row r="868" spans="2:16" s="14" customFormat="1" ht="28.8" x14ac:dyDescent="0.3">
      <c r="B868" s="82" t="s">
        <v>1540</v>
      </c>
      <c r="C868" s="1" t="s">
        <v>1541</v>
      </c>
      <c r="D868" s="28">
        <f t="shared" si="170"/>
        <v>0</v>
      </c>
      <c r="E868" s="121"/>
      <c r="F868" s="121">
        <v>0</v>
      </c>
      <c r="G868" s="121"/>
      <c r="H868" s="121"/>
      <c r="I868" s="121"/>
      <c r="J868" s="121"/>
      <c r="K868" s="121"/>
      <c r="L868" s="29"/>
      <c r="M868" s="29"/>
      <c r="N868" s="43"/>
      <c r="O868" s="43"/>
      <c r="P868" s="114"/>
    </row>
    <row r="869" spans="2:16" s="14" customFormat="1" ht="28.8" x14ac:dyDescent="0.3">
      <c r="B869" s="82" t="s">
        <v>1542</v>
      </c>
      <c r="C869" s="1" t="s">
        <v>1543</v>
      </c>
      <c r="D869" s="28">
        <f t="shared" si="170"/>
        <v>0</v>
      </c>
      <c r="E869" s="121"/>
      <c r="F869" s="121">
        <v>0</v>
      </c>
      <c r="G869" s="121"/>
      <c r="H869" s="121"/>
      <c r="I869" s="121"/>
      <c r="J869" s="121"/>
      <c r="K869" s="121"/>
      <c r="L869" s="29"/>
      <c r="M869" s="29"/>
      <c r="N869" s="43"/>
      <c r="O869" s="43"/>
      <c r="P869" s="114"/>
    </row>
    <row r="870" spans="2:16" s="14" customFormat="1" x14ac:dyDescent="0.3">
      <c r="B870" s="82" t="s">
        <v>1544</v>
      </c>
      <c r="C870" s="1" t="s">
        <v>1545</v>
      </c>
      <c r="D870" s="40"/>
      <c r="E870" s="24"/>
      <c r="F870" s="24"/>
      <c r="G870" s="24"/>
      <c r="H870" s="24"/>
      <c r="I870" s="24"/>
      <c r="J870" s="24"/>
      <c r="K870" s="24"/>
      <c r="L870" s="46"/>
      <c r="M870" s="46"/>
      <c r="N870" s="43"/>
      <c r="O870" s="43"/>
      <c r="P870" s="114"/>
    </row>
    <row r="871" spans="2:16" s="14" customFormat="1" ht="43.2" x14ac:dyDescent="0.3">
      <c r="B871" s="82" t="s">
        <v>1546</v>
      </c>
      <c r="C871" s="1" t="s">
        <v>1547</v>
      </c>
      <c r="D871" s="28">
        <f t="shared" si="170"/>
        <v>0</v>
      </c>
      <c r="E871" s="121"/>
      <c r="F871" s="121">
        <v>0</v>
      </c>
      <c r="G871" s="121"/>
      <c r="H871" s="121"/>
      <c r="I871" s="121"/>
      <c r="J871" s="121"/>
      <c r="K871" s="121"/>
      <c r="L871" s="29"/>
      <c r="M871" s="29"/>
      <c r="N871" s="30"/>
      <c r="O871" s="43"/>
      <c r="P871" s="114"/>
    </row>
    <row r="872" spans="2:16" s="14" customFormat="1" ht="28.8" x14ac:dyDescent="0.3">
      <c r="B872" s="82" t="s">
        <v>1548</v>
      </c>
      <c r="C872" s="1" t="s">
        <v>1549</v>
      </c>
      <c r="D872" s="35">
        <f t="shared" si="170"/>
        <v>0</v>
      </c>
      <c r="E872" s="155"/>
      <c r="F872" s="155">
        <v>0</v>
      </c>
      <c r="G872" s="155"/>
      <c r="H872" s="155"/>
      <c r="I872" s="155"/>
      <c r="J872" s="155"/>
      <c r="K872" s="155"/>
      <c r="L872" s="37"/>
      <c r="M872" s="37"/>
      <c r="N872" s="38"/>
      <c r="O872" s="43"/>
      <c r="P872" s="114"/>
    </row>
    <row r="873" spans="2:16" s="14" customFormat="1" ht="28.8" x14ac:dyDescent="0.3">
      <c r="B873" s="93" t="s">
        <v>1550</v>
      </c>
      <c r="C873" s="22" t="s">
        <v>1551</v>
      </c>
      <c r="D873" s="156"/>
      <c r="E873" s="157"/>
      <c r="F873" s="157"/>
      <c r="G873" s="157"/>
      <c r="H873" s="157"/>
      <c r="I873" s="157"/>
      <c r="J873" s="157"/>
      <c r="K873" s="157"/>
      <c r="L873" s="158"/>
      <c r="M873" s="158"/>
      <c r="N873" s="123"/>
      <c r="O873" s="123"/>
      <c r="P873" s="114"/>
    </row>
    <row r="874" spans="2:16" s="14" customFormat="1" ht="56.25" customHeight="1" x14ac:dyDescent="0.3">
      <c r="B874" s="82" t="s">
        <v>1552</v>
      </c>
      <c r="C874" s="1" t="s">
        <v>1553</v>
      </c>
      <c r="D874" s="128">
        <f t="shared" si="170"/>
        <v>0</v>
      </c>
      <c r="E874" s="65">
        <f t="shared" ref="E874:M874" si="178">SUM(E875,E876,E877)</f>
        <v>0</v>
      </c>
      <c r="F874" s="65">
        <f t="shared" si="178"/>
        <v>0</v>
      </c>
      <c r="G874" s="65">
        <f t="shared" si="178"/>
        <v>0</v>
      </c>
      <c r="H874" s="65">
        <f t="shared" si="178"/>
        <v>0</v>
      </c>
      <c r="I874" s="65">
        <f t="shared" si="178"/>
        <v>0</v>
      </c>
      <c r="J874" s="65">
        <f t="shared" si="178"/>
        <v>0</v>
      </c>
      <c r="K874" s="65">
        <f t="shared" si="178"/>
        <v>0</v>
      </c>
      <c r="L874" s="65">
        <f t="shared" si="178"/>
        <v>0</v>
      </c>
      <c r="M874" s="65">
        <f t="shared" si="178"/>
        <v>0</v>
      </c>
      <c r="N874" s="137"/>
      <c r="O874" s="30"/>
      <c r="P874" s="114"/>
    </row>
    <row r="875" spans="2:16" s="14" customFormat="1" x14ac:dyDescent="0.3">
      <c r="B875" s="82" t="s">
        <v>1554</v>
      </c>
      <c r="C875" s="1" t="s">
        <v>1555</v>
      </c>
      <c r="D875" s="28">
        <f t="shared" si="170"/>
        <v>0</v>
      </c>
      <c r="E875" s="121"/>
      <c r="F875" s="121">
        <v>0</v>
      </c>
      <c r="G875" s="121"/>
      <c r="H875" s="121"/>
      <c r="I875" s="121"/>
      <c r="J875" s="121"/>
      <c r="K875" s="121"/>
      <c r="L875" s="29"/>
      <c r="M875" s="29"/>
      <c r="N875" s="30"/>
      <c r="O875" s="30"/>
      <c r="P875" s="114"/>
    </row>
    <row r="876" spans="2:16" s="14" customFormat="1" ht="28.8" x14ac:dyDescent="0.3">
      <c r="B876" s="82" t="s">
        <v>1556</v>
      </c>
      <c r="C876" s="1" t="s">
        <v>1557</v>
      </c>
      <c r="D876" s="28">
        <f t="shared" si="170"/>
        <v>0</v>
      </c>
      <c r="E876" s="121"/>
      <c r="F876" s="121">
        <v>0</v>
      </c>
      <c r="G876" s="121"/>
      <c r="H876" s="121"/>
      <c r="I876" s="121"/>
      <c r="J876" s="121"/>
      <c r="K876" s="121"/>
      <c r="L876" s="29"/>
      <c r="M876" s="29"/>
      <c r="N876" s="30"/>
      <c r="O876" s="30"/>
      <c r="P876" s="114"/>
    </row>
    <row r="877" spans="2:16" s="14" customFormat="1" x14ac:dyDescent="0.3">
      <c r="B877" s="33" t="s">
        <v>1558</v>
      </c>
      <c r="C877" s="34" t="s">
        <v>1559</v>
      </c>
      <c r="D877" s="28">
        <f t="shared" si="170"/>
        <v>0</v>
      </c>
      <c r="E877" s="118"/>
      <c r="F877" s="118">
        <v>0</v>
      </c>
      <c r="G877" s="118"/>
      <c r="H877" s="118"/>
      <c r="I877" s="118"/>
      <c r="J877" s="118"/>
      <c r="K877" s="118"/>
      <c r="L877" s="49"/>
      <c r="M877" s="49"/>
      <c r="N877" s="30"/>
      <c r="O877" s="31" t="str">
        <f>IF(((D877=0)),"   ","Нужно заполнить пункт 68 текстовой части - о сферах деятельности организаций")</f>
        <v xml:space="preserve">   </v>
      </c>
      <c r="P877" s="114"/>
    </row>
    <row r="878" spans="2:16" s="14" customFormat="1" ht="57.6" x14ac:dyDescent="0.3">
      <c r="B878" s="82" t="s">
        <v>1560</v>
      </c>
      <c r="C878" s="1" t="s">
        <v>1561</v>
      </c>
      <c r="D878" s="28">
        <f t="shared" si="170"/>
        <v>0</v>
      </c>
      <c r="E878" s="121"/>
      <c r="F878" s="121">
        <v>0</v>
      </c>
      <c r="G878" s="121"/>
      <c r="H878" s="121"/>
      <c r="I878" s="121"/>
      <c r="J878" s="121"/>
      <c r="K878" s="121"/>
      <c r="L878" s="29"/>
      <c r="M878" s="29"/>
      <c r="N878" s="30"/>
      <c r="O878" s="30"/>
      <c r="P878" s="114"/>
    </row>
    <row r="879" spans="2:16" s="14" customFormat="1" ht="57.6" x14ac:dyDescent="0.3">
      <c r="B879" s="93" t="s">
        <v>1562</v>
      </c>
      <c r="C879" s="22" t="s">
        <v>1563</v>
      </c>
      <c r="D879" s="156"/>
      <c r="E879" s="157"/>
      <c r="F879" s="157"/>
      <c r="G879" s="157"/>
      <c r="H879" s="157"/>
      <c r="I879" s="157"/>
      <c r="J879" s="157"/>
      <c r="K879" s="157"/>
      <c r="L879" s="158"/>
      <c r="M879" s="158"/>
      <c r="N879" s="123"/>
      <c r="O879" s="123"/>
      <c r="P879" s="114"/>
    </row>
    <row r="880" spans="2:16" s="14" customFormat="1" ht="72" x14ac:dyDescent="0.3">
      <c r="B880" s="82" t="s">
        <v>1564</v>
      </c>
      <c r="C880" s="1" t="s">
        <v>1565</v>
      </c>
      <c r="D880" s="28">
        <f t="shared" ref="D880:D885" si="179">SUM(E880:I880)+SUM(K880:M880)</f>
        <v>0</v>
      </c>
      <c r="E880" s="121"/>
      <c r="F880" s="121">
        <v>0</v>
      </c>
      <c r="G880" s="121"/>
      <c r="H880" s="121"/>
      <c r="I880" s="121"/>
      <c r="J880" s="121"/>
      <c r="K880" s="121"/>
      <c r="L880" s="29"/>
      <c r="M880" s="29"/>
      <c r="N880" s="30"/>
      <c r="O880" s="43"/>
      <c r="P880" s="114"/>
    </row>
    <row r="881" spans="2:16" s="14" customFormat="1" ht="28.8" x14ac:dyDescent="0.3">
      <c r="B881" s="82" t="s">
        <v>1566</v>
      </c>
      <c r="C881" s="1" t="s">
        <v>1567</v>
      </c>
      <c r="D881" s="28">
        <f t="shared" si="179"/>
        <v>0</v>
      </c>
      <c r="E881" s="121"/>
      <c r="F881" s="121">
        <v>0</v>
      </c>
      <c r="G881" s="121"/>
      <c r="H881" s="121"/>
      <c r="I881" s="121"/>
      <c r="J881" s="121"/>
      <c r="K881" s="121"/>
      <c r="L881" s="29"/>
      <c r="M881" s="29"/>
      <c r="N881" s="30"/>
      <c r="O881" s="43"/>
      <c r="P881" s="114"/>
    </row>
    <row r="882" spans="2:16" s="14" customFormat="1" ht="28.8" x14ac:dyDescent="0.3">
      <c r="B882" s="82" t="s">
        <v>1568</v>
      </c>
      <c r="C882" s="1" t="s">
        <v>1569</v>
      </c>
      <c r="D882" s="28">
        <f t="shared" si="179"/>
        <v>0</v>
      </c>
      <c r="E882" s="121"/>
      <c r="F882" s="121">
        <v>0</v>
      </c>
      <c r="G882" s="121"/>
      <c r="H882" s="121"/>
      <c r="I882" s="121"/>
      <c r="J882" s="121"/>
      <c r="K882" s="121"/>
      <c r="L882" s="29"/>
      <c r="M882" s="29"/>
      <c r="N882" s="30"/>
      <c r="O882" s="43"/>
      <c r="P882" s="114"/>
    </row>
    <row r="883" spans="2:16" s="14" customFormat="1" ht="57.6" x14ac:dyDescent="0.3">
      <c r="B883" s="82" t="s">
        <v>1570</v>
      </c>
      <c r="C883" s="1" t="s">
        <v>1571</v>
      </c>
      <c r="D883" s="28">
        <f t="shared" si="179"/>
        <v>0</v>
      </c>
      <c r="E883" s="121"/>
      <c r="F883" s="121">
        <v>0</v>
      </c>
      <c r="G883" s="121"/>
      <c r="H883" s="121"/>
      <c r="I883" s="121"/>
      <c r="J883" s="121"/>
      <c r="K883" s="121"/>
      <c r="L883" s="29"/>
      <c r="M883" s="29"/>
      <c r="N883" s="30"/>
      <c r="O883" s="43"/>
      <c r="P883" s="114"/>
    </row>
    <row r="884" spans="2:16" s="14" customFormat="1" ht="72" x14ac:dyDescent="0.3">
      <c r="B884" s="82" t="s">
        <v>1572</v>
      </c>
      <c r="C884" s="1" t="s">
        <v>1573</v>
      </c>
      <c r="D884" s="28">
        <f t="shared" si="179"/>
        <v>0</v>
      </c>
      <c r="E884" s="121"/>
      <c r="F884" s="121">
        <v>0</v>
      </c>
      <c r="G884" s="121"/>
      <c r="H884" s="121"/>
      <c r="I884" s="121"/>
      <c r="J884" s="121"/>
      <c r="K884" s="121"/>
      <c r="L884" s="29"/>
      <c r="M884" s="29"/>
      <c r="N884" s="30"/>
      <c r="O884" s="43"/>
      <c r="P884" s="114"/>
    </row>
    <row r="885" spans="2:16" s="14" customFormat="1" x14ac:dyDescent="0.3">
      <c r="B885" s="82" t="s">
        <v>1574</v>
      </c>
      <c r="C885" s="1" t="s">
        <v>1575</v>
      </c>
      <c r="D885" s="28">
        <f t="shared" si="179"/>
        <v>0</v>
      </c>
      <c r="E885" s="121"/>
      <c r="F885" s="121">
        <v>0</v>
      </c>
      <c r="G885" s="121"/>
      <c r="H885" s="121"/>
      <c r="I885" s="121"/>
      <c r="J885" s="121"/>
      <c r="K885" s="121"/>
      <c r="L885" s="29"/>
      <c r="M885" s="29"/>
      <c r="N885" s="30"/>
      <c r="O885" s="43"/>
      <c r="P885" s="114"/>
    </row>
    <row r="886" spans="2:16" s="14" customFormat="1" ht="43.2" x14ac:dyDescent="0.3">
      <c r="B886" s="82" t="s">
        <v>1576</v>
      </c>
      <c r="C886" s="1" t="s">
        <v>1577</v>
      </c>
      <c r="D886" s="159">
        <v>0</v>
      </c>
      <c r="E886" s="160">
        <v>0</v>
      </c>
      <c r="F886" s="160">
        <v>0</v>
      </c>
      <c r="G886" s="160">
        <v>0</v>
      </c>
      <c r="H886" s="160">
        <v>0</v>
      </c>
      <c r="I886" s="160">
        <v>0</v>
      </c>
      <c r="J886" s="160">
        <v>0</v>
      </c>
      <c r="K886" s="160">
        <v>0</v>
      </c>
      <c r="L886" s="160">
        <v>0</v>
      </c>
      <c r="M886" s="160">
        <v>0</v>
      </c>
      <c r="N886" s="161"/>
      <c r="O886" s="162"/>
      <c r="P886" s="114"/>
    </row>
    <row r="887" spans="2:16" s="14" customFormat="1" ht="28.8" x14ac:dyDescent="0.3">
      <c r="B887" s="82" t="s">
        <v>1578</v>
      </c>
      <c r="C887" s="1" t="s">
        <v>1579</v>
      </c>
      <c r="D887" s="159">
        <v>0</v>
      </c>
      <c r="E887" s="121"/>
      <c r="F887" s="121">
        <v>0</v>
      </c>
      <c r="G887" s="121"/>
      <c r="H887" s="121"/>
      <c r="I887" s="121"/>
      <c r="J887" s="121"/>
      <c r="K887" s="121"/>
      <c r="L887" s="29"/>
      <c r="M887" s="29"/>
      <c r="N887" s="161"/>
      <c r="O887" s="162"/>
      <c r="P887" s="114"/>
    </row>
    <row r="888" spans="2:16" s="14" customFormat="1" ht="28.8" x14ac:dyDescent="0.3">
      <c r="B888" s="82" t="s">
        <v>1580</v>
      </c>
      <c r="C888" s="1" t="s">
        <v>1581</v>
      </c>
      <c r="D888" s="159">
        <v>0</v>
      </c>
      <c r="E888" s="121"/>
      <c r="F888" s="121">
        <v>0</v>
      </c>
      <c r="G888" s="121"/>
      <c r="H888" s="121"/>
      <c r="I888" s="121"/>
      <c r="J888" s="121"/>
      <c r="K888" s="121"/>
      <c r="L888" s="29"/>
      <c r="M888" s="29"/>
      <c r="N888" s="161"/>
      <c r="O888" s="162"/>
      <c r="P888" s="114"/>
    </row>
    <row r="889" spans="2:16" s="14" customFormat="1" ht="57.6" x14ac:dyDescent="0.3">
      <c r="B889" s="82" t="s">
        <v>1582</v>
      </c>
      <c r="C889" s="1" t="s">
        <v>1583</v>
      </c>
      <c r="D889" s="159">
        <v>0</v>
      </c>
      <c r="E889" s="121"/>
      <c r="F889" s="121">
        <v>0</v>
      </c>
      <c r="G889" s="121"/>
      <c r="H889" s="121"/>
      <c r="I889" s="121"/>
      <c r="J889" s="121"/>
      <c r="K889" s="121"/>
      <c r="L889" s="29"/>
      <c r="M889" s="29"/>
      <c r="N889" s="161"/>
      <c r="O889" s="162"/>
      <c r="P889" s="114"/>
    </row>
    <row r="890" spans="2:16" s="14" customFormat="1" ht="72" x14ac:dyDescent="0.3">
      <c r="B890" s="82" t="s">
        <v>1584</v>
      </c>
      <c r="C890" s="1" t="s">
        <v>1585</v>
      </c>
      <c r="D890" s="159">
        <v>0</v>
      </c>
      <c r="E890" s="121"/>
      <c r="F890" s="121">
        <v>0</v>
      </c>
      <c r="G890" s="121"/>
      <c r="H890" s="121"/>
      <c r="I890" s="121"/>
      <c r="J890" s="121"/>
      <c r="K890" s="121"/>
      <c r="L890" s="29"/>
      <c r="M890" s="29"/>
      <c r="N890" s="161"/>
      <c r="O890" s="162"/>
      <c r="P890" s="114"/>
    </row>
    <row r="891" spans="2:16" s="14" customFormat="1" x14ac:dyDescent="0.3">
      <c r="B891" s="82" t="s">
        <v>1586</v>
      </c>
      <c r="C891" s="1" t="s">
        <v>1587</v>
      </c>
      <c r="D891" s="159">
        <v>0</v>
      </c>
      <c r="E891" s="160">
        <v>0</v>
      </c>
      <c r="F891" s="160">
        <v>0</v>
      </c>
      <c r="G891" s="160">
        <v>0</v>
      </c>
      <c r="H891" s="160">
        <v>0</v>
      </c>
      <c r="I891" s="160">
        <v>0</v>
      </c>
      <c r="J891" s="160">
        <v>0</v>
      </c>
      <c r="K891" s="160">
        <v>0</v>
      </c>
      <c r="L891" s="160">
        <v>0</v>
      </c>
      <c r="M891" s="160">
        <v>0</v>
      </c>
      <c r="N891" s="161"/>
      <c r="O891" s="162"/>
      <c r="P891" s="114"/>
    </row>
    <row r="892" spans="2:16" s="14" customFormat="1" x14ac:dyDescent="0.3">
      <c r="B892" s="82" t="s">
        <v>1588</v>
      </c>
      <c r="C892" s="120" t="s">
        <v>1589</v>
      </c>
      <c r="D892" s="159">
        <v>0</v>
      </c>
      <c r="E892" s="121"/>
      <c r="F892" s="121">
        <v>0</v>
      </c>
      <c r="G892" s="121"/>
      <c r="H892" s="121"/>
      <c r="I892" s="121"/>
      <c r="J892" s="121"/>
      <c r="K892" s="121"/>
      <c r="L892" s="29"/>
      <c r="M892" s="29"/>
      <c r="N892" s="161"/>
      <c r="O892" s="162"/>
      <c r="P892" s="114"/>
    </row>
    <row r="893" spans="2:16" s="14" customFormat="1" x14ac:dyDescent="0.3">
      <c r="B893" s="82" t="s">
        <v>1590</v>
      </c>
      <c r="C893" s="120" t="s">
        <v>1591</v>
      </c>
      <c r="D893" s="159">
        <v>0</v>
      </c>
      <c r="E893" s="121"/>
      <c r="F893" s="121">
        <v>0</v>
      </c>
      <c r="G893" s="121"/>
      <c r="H893" s="121"/>
      <c r="I893" s="121"/>
      <c r="J893" s="121"/>
      <c r="K893" s="121"/>
      <c r="L893" s="29"/>
      <c r="M893" s="29"/>
      <c r="N893" s="161"/>
      <c r="O893" s="162"/>
      <c r="P893" s="114"/>
    </row>
    <row r="894" spans="2:16" s="14" customFormat="1" x14ac:dyDescent="0.3">
      <c r="B894" s="82" t="s">
        <v>1592</v>
      </c>
      <c r="C894" s="120" t="s">
        <v>1593</v>
      </c>
      <c r="D894" s="159">
        <v>0</v>
      </c>
      <c r="E894" s="121"/>
      <c r="F894" s="121">
        <v>0</v>
      </c>
      <c r="G894" s="121"/>
      <c r="H894" s="121"/>
      <c r="I894" s="121"/>
      <c r="J894" s="121"/>
      <c r="K894" s="121"/>
      <c r="L894" s="29"/>
      <c r="M894" s="29"/>
      <c r="N894" s="161"/>
      <c r="O894" s="162"/>
      <c r="P894" s="114"/>
    </row>
    <row r="895" spans="2:16" s="14" customFormat="1" x14ac:dyDescent="0.3">
      <c r="B895" s="82" t="s">
        <v>1594</v>
      </c>
      <c r="C895" s="120" t="s">
        <v>1595</v>
      </c>
      <c r="D895" s="159">
        <v>0</v>
      </c>
      <c r="E895" s="121"/>
      <c r="F895" s="121">
        <v>0</v>
      </c>
      <c r="G895" s="121"/>
      <c r="H895" s="121"/>
      <c r="I895" s="121"/>
      <c r="J895" s="121"/>
      <c r="K895" s="121"/>
      <c r="L895" s="29"/>
      <c r="M895" s="29"/>
      <c r="N895" s="161"/>
      <c r="O895" s="162"/>
      <c r="P895" s="114"/>
    </row>
    <row r="896" spans="2:16" s="14" customFormat="1" x14ac:dyDescent="0.3">
      <c r="B896" s="145" t="s">
        <v>1596</v>
      </c>
      <c r="C896" s="163" t="s">
        <v>1597</v>
      </c>
      <c r="D896" s="164">
        <v>0</v>
      </c>
      <c r="E896" s="155"/>
      <c r="F896" s="155">
        <v>0</v>
      </c>
      <c r="G896" s="155"/>
      <c r="H896" s="155"/>
      <c r="I896" s="155"/>
      <c r="J896" s="155"/>
      <c r="K896" s="155"/>
      <c r="L896" s="37"/>
      <c r="M896" s="37"/>
      <c r="N896" s="165"/>
      <c r="O896" s="166"/>
      <c r="P896" s="114"/>
    </row>
    <row r="897" spans="1:16" s="167" customFormat="1" x14ac:dyDescent="0.3">
      <c r="B897" s="168"/>
      <c r="C897" s="169"/>
      <c r="D897" s="170"/>
      <c r="E897" s="171"/>
      <c r="F897" s="171"/>
      <c r="G897" s="171"/>
      <c r="H897" s="171"/>
      <c r="I897" s="171"/>
      <c r="J897" s="171"/>
      <c r="K897" s="171"/>
      <c r="L897" s="172"/>
      <c r="M897" s="172"/>
      <c r="N897" s="173"/>
      <c r="O897" s="173"/>
      <c r="P897" s="174"/>
    </row>
    <row r="898" spans="1:16" s="14" customFormat="1" x14ac:dyDescent="0.3">
      <c r="B898" s="189" t="s">
        <v>1598</v>
      </c>
      <c r="C898" s="190"/>
      <c r="D898" s="190"/>
      <c r="E898" s="190"/>
      <c r="F898" s="190"/>
      <c r="G898" s="190"/>
      <c r="H898" s="190"/>
      <c r="I898" s="190"/>
      <c r="J898" s="190"/>
      <c r="K898" s="190"/>
      <c r="L898" s="190"/>
      <c r="M898" s="190"/>
      <c r="N898" s="190"/>
      <c r="O898" s="191"/>
      <c r="P898" s="114"/>
    </row>
    <row r="899" spans="1:16" s="14" customFormat="1" ht="30" customHeight="1" x14ac:dyDescent="0.3">
      <c r="B899" s="175" t="s">
        <v>18</v>
      </c>
      <c r="C899" s="176" t="s">
        <v>1599</v>
      </c>
      <c r="D899" s="177"/>
      <c r="E899" s="177"/>
      <c r="F899" s="177"/>
      <c r="G899" s="177"/>
      <c r="H899" s="178" t="s">
        <v>1608</v>
      </c>
      <c r="I899" s="178"/>
      <c r="J899" s="178"/>
      <c r="K899" s="178"/>
      <c r="L899" s="178"/>
      <c r="M899" s="178"/>
      <c r="N899" s="178"/>
      <c r="O899" s="179"/>
      <c r="P899" s="114"/>
    </row>
    <row r="900" spans="1:16" s="14" customFormat="1" ht="15" customHeight="1" x14ac:dyDescent="0.3">
      <c r="B900" s="175" t="s">
        <v>38</v>
      </c>
      <c r="C900" s="176" t="s">
        <v>1600</v>
      </c>
      <c r="D900" s="177"/>
      <c r="E900" s="177"/>
      <c r="F900" s="177"/>
      <c r="G900" s="177"/>
      <c r="H900" s="178" t="s">
        <v>1609</v>
      </c>
      <c r="I900" s="178"/>
      <c r="J900" s="178"/>
      <c r="K900" s="178"/>
      <c r="L900" s="178"/>
      <c r="M900" s="178"/>
      <c r="N900" s="178"/>
      <c r="O900" s="179"/>
      <c r="P900" s="114"/>
    </row>
    <row r="901" spans="1:16" s="14" customFormat="1" ht="15" customHeight="1" x14ac:dyDescent="0.3">
      <c r="B901" s="175" t="s">
        <v>46</v>
      </c>
      <c r="C901" s="176" t="s">
        <v>1601</v>
      </c>
      <c r="D901" s="177"/>
      <c r="E901" s="177"/>
      <c r="F901" s="177"/>
      <c r="G901" s="177"/>
      <c r="H901" s="178">
        <v>84843473356</v>
      </c>
      <c r="I901" s="178"/>
      <c r="J901" s="178"/>
      <c r="K901" s="178"/>
      <c r="L901" s="178"/>
      <c r="M901" s="178"/>
      <c r="N901" s="178"/>
      <c r="O901" s="179"/>
      <c r="P901" s="114"/>
    </row>
    <row r="902" spans="1:16" s="14" customFormat="1" ht="15" customHeight="1" x14ac:dyDescent="0.3">
      <c r="B902" s="175" t="s">
        <v>98</v>
      </c>
      <c r="C902" s="176" t="s">
        <v>1602</v>
      </c>
      <c r="D902" s="177"/>
      <c r="E902" s="177"/>
      <c r="F902" s="177"/>
      <c r="G902" s="177"/>
      <c r="H902" s="178" t="s">
        <v>1610</v>
      </c>
      <c r="I902" s="178"/>
      <c r="J902" s="178"/>
      <c r="K902" s="178"/>
      <c r="L902" s="178"/>
      <c r="M902" s="178"/>
      <c r="N902" s="178"/>
      <c r="O902" s="179"/>
      <c r="P902" s="114"/>
    </row>
    <row r="903" spans="1:16" s="14" customFormat="1" ht="30" customHeight="1" x14ac:dyDescent="0.3">
      <c r="B903" s="175" t="s">
        <v>1603</v>
      </c>
      <c r="C903" s="176" t="s">
        <v>1604</v>
      </c>
      <c r="D903" s="177"/>
      <c r="E903" s="177"/>
      <c r="F903" s="177"/>
      <c r="G903" s="177"/>
      <c r="H903" s="178">
        <v>84843473356</v>
      </c>
      <c r="I903" s="178"/>
      <c r="J903" s="178"/>
      <c r="K903" s="178"/>
      <c r="L903" s="178"/>
      <c r="M903" s="178"/>
      <c r="N903" s="178"/>
      <c r="O903" s="179"/>
      <c r="P903" s="114"/>
    </row>
    <row r="904" spans="1:16" s="14" customFormat="1" ht="30" customHeight="1" x14ac:dyDescent="0.3">
      <c r="B904" s="175" t="s">
        <v>197</v>
      </c>
      <c r="C904" s="176" t="s">
        <v>1605</v>
      </c>
      <c r="D904" s="177"/>
      <c r="E904" s="177"/>
      <c r="F904" s="177"/>
      <c r="G904" s="177"/>
      <c r="H904" s="178"/>
      <c r="I904" s="178"/>
      <c r="J904" s="178"/>
      <c r="K904" s="178"/>
      <c r="L904" s="178"/>
      <c r="M904" s="178"/>
      <c r="N904" s="178"/>
      <c r="O904" s="179"/>
      <c r="P904" s="114"/>
    </row>
    <row r="905" spans="1:16" s="14" customFormat="1" ht="15" customHeight="1" x14ac:dyDescent="0.3">
      <c r="B905" s="175" t="s">
        <v>257</v>
      </c>
      <c r="C905" s="176" t="s">
        <v>1606</v>
      </c>
      <c r="D905" s="177"/>
      <c r="E905" s="177"/>
      <c r="F905" s="177"/>
      <c r="G905" s="177"/>
      <c r="H905" s="178"/>
      <c r="I905" s="178"/>
      <c r="J905" s="178"/>
      <c r="K905" s="178"/>
      <c r="L905" s="178"/>
      <c r="M905" s="178"/>
      <c r="N905" s="178"/>
      <c r="O905" s="179"/>
      <c r="P905" s="114"/>
    </row>
    <row r="906" spans="1:16" s="14" customFormat="1" ht="30" customHeight="1" x14ac:dyDescent="0.3">
      <c r="A906" s="167"/>
      <c r="B906" s="175" t="s">
        <v>267</v>
      </c>
      <c r="C906" s="176" t="s">
        <v>1604</v>
      </c>
      <c r="D906" s="177"/>
      <c r="E906" s="177"/>
      <c r="F906" s="177"/>
      <c r="G906" s="177"/>
      <c r="H906" s="178"/>
      <c r="I906" s="178"/>
      <c r="J906" s="178"/>
      <c r="K906" s="178"/>
      <c r="L906" s="178"/>
      <c r="M906" s="178"/>
      <c r="N906" s="178"/>
      <c r="O906" s="179"/>
      <c r="P906" s="114"/>
    </row>
    <row r="907" spans="1:16" s="14" customFormat="1" ht="18" x14ac:dyDescent="0.3">
      <c r="A907" s="167"/>
      <c r="B907" s="180"/>
      <c r="C907" s="181"/>
      <c r="D907" s="181"/>
      <c r="E907" s="181"/>
      <c r="F907" s="181"/>
      <c r="G907" s="181"/>
      <c r="H907" s="181"/>
      <c r="I907" s="181"/>
      <c r="J907" s="181"/>
      <c r="K907" s="181"/>
      <c r="L907" s="181"/>
      <c r="M907" s="181"/>
      <c r="N907" s="181"/>
      <c r="O907" s="182"/>
      <c r="P907" s="114"/>
    </row>
    <row r="908" spans="1:16" s="14" customFormat="1" x14ac:dyDescent="0.3">
      <c r="A908" s="167"/>
      <c r="B908" s="3"/>
      <c r="C908" s="4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/>
      <c r="O908" s="6"/>
      <c r="P908" s="114"/>
    </row>
    <row r="909" spans="1:16" s="14" customFormat="1" x14ac:dyDescent="0.3">
      <c r="A909" s="167"/>
      <c r="B909" s="3"/>
      <c r="C909" s="4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/>
      <c r="O909" s="6"/>
      <c r="P909" s="114"/>
    </row>
    <row r="910" spans="1:16" s="14" customFormat="1" x14ac:dyDescent="0.3">
      <c r="A910" s="167"/>
      <c r="B910" s="3"/>
      <c r="C910" s="4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/>
      <c r="O910" s="6"/>
      <c r="P910" s="114"/>
    </row>
    <row r="911" spans="1:16" s="14" customFormat="1" x14ac:dyDescent="0.3">
      <c r="B911" s="3"/>
      <c r="C911" s="4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/>
      <c r="O911" s="6"/>
      <c r="P911" s="114"/>
    </row>
    <row r="912" spans="1:16" s="14" customFormat="1" x14ac:dyDescent="0.3">
      <c r="B912" s="3"/>
      <c r="C912" s="4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/>
      <c r="O912" s="6"/>
      <c r="P912" s="114"/>
    </row>
    <row r="913" spans="2:16" s="14" customFormat="1" x14ac:dyDescent="0.3">
      <c r="B913" s="3"/>
      <c r="C913" s="4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/>
      <c r="O913" s="6"/>
      <c r="P913" s="114"/>
    </row>
    <row r="914" spans="2:16" x14ac:dyDescent="0.3">
      <c r="P914" s="114"/>
    </row>
    <row r="915" spans="2:16" x14ac:dyDescent="0.3">
      <c r="P915" s="114"/>
    </row>
    <row r="916" spans="2:16" x14ac:dyDescent="0.3">
      <c r="P916" s="114"/>
    </row>
    <row r="917" spans="2:16" x14ac:dyDescent="0.3">
      <c r="P917" s="114"/>
    </row>
    <row r="918" spans="2:16" x14ac:dyDescent="0.3">
      <c r="P918" s="114"/>
    </row>
    <row r="919" spans="2:16" x14ac:dyDescent="0.3">
      <c r="P919" s="114"/>
    </row>
    <row r="920" spans="2:16" x14ac:dyDescent="0.3">
      <c r="P920" s="114"/>
    </row>
    <row r="921" spans="2:16" x14ac:dyDescent="0.3">
      <c r="P921" s="114"/>
    </row>
    <row r="922" spans="2:16" x14ac:dyDescent="0.3">
      <c r="P922" s="114"/>
    </row>
    <row r="923" spans="2:16" x14ac:dyDescent="0.3">
      <c r="P923" s="114"/>
    </row>
    <row r="924" spans="2:16" x14ac:dyDescent="0.3">
      <c r="P924" s="114"/>
    </row>
    <row r="925" spans="2:16" x14ac:dyDescent="0.3">
      <c r="P925" s="114"/>
    </row>
    <row r="926" spans="2:16" x14ac:dyDescent="0.3">
      <c r="P926" s="114"/>
    </row>
    <row r="927" spans="2:16" x14ac:dyDescent="0.3">
      <c r="P927" s="114"/>
    </row>
    <row r="928" spans="2:16" x14ac:dyDescent="0.3">
      <c r="P928" s="114"/>
    </row>
    <row r="929" spans="16:16" s="5" customFormat="1" x14ac:dyDescent="0.3">
      <c r="P929" s="114"/>
    </row>
    <row r="930" spans="16:16" s="5" customFormat="1" x14ac:dyDescent="0.3">
      <c r="P930" s="114"/>
    </row>
    <row r="931" spans="16:16" s="5" customFormat="1" x14ac:dyDescent="0.3">
      <c r="P931" s="114"/>
    </row>
    <row r="932" spans="16:16" s="5" customFormat="1" x14ac:dyDescent="0.3">
      <c r="P932" s="114"/>
    </row>
    <row r="933" spans="16:16" s="5" customFormat="1" x14ac:dyDescent="0.3">
      <c r="P933" s="114"/>
    </row>
    <row r="934" spans="16:16" s="5" customFormat="1" x14ac:dyDescent="0.3">
      <c r="P934" s="114"/>
    </row>
    <row r="935" spans="16:16" s="5" customFormat="1" x14ac:dyDescent="0.3">
      <c r="P935" s="114"/>
    </row>
    <row r="936" spans="16:16" s="5" customFormat="1" x14ac:dyDescent="0.3">
      <c r="P936" s="114"/>
    </row>
    <row r="937" spans="16:16" s="5" customFormat="1" x14ac:dyDescent="0.3">
      <c r="P937" s="114"/>
    </row>
    <row r="938" spans="16:16" s="5" customFormat="1" x14ac:dyDescent="0.3">
      <c r="P938" s="114"/>
    </row>
    <row r="939" spans="16:16" s="5" customFormat="1" x14ac:dyDescent="0.3">
      <c r="P939" s="114"/>
    </row>
    <row r="940" spans="16:16" s="5" customFormat="1" x14ac:dyDescent="0.3">
      <c r="P940" s="114"/>
    </row>
    <row r="941" spans="16:16" s="5" customFormat="1" x14ac:dyDescent="0.3">
      <c r="P941" s="114"/>
    </row>
    <row r="942" spans="16:16" s="5" customFormat="1" x14ac:dyDescent="0.3">
      <c r="P942" s="114"/>
    </row>
    <row r="943" spans="16:16" s="5" customFormat="1" x14ac:dyDescent="0.3">
      <c r="P943" s="114"/>
    </row>
    <row r="944" spans="16:16" s="5" customFormat="1" x14ac:dyDescent="0.3">
      <c r="P944" s="114"/>
    </row>
    <row r="945" spans="2:16" x14ac:dyDescent="0.3">
      <c r="P945" s="90"/>
    </row>
    <row r="946" spans="2:16" x14ac:dyDescent="0.3">
      <c r="P946" s="114"/>
    </row>
    <row r="947" spans="2:16" x14ac:dyDescent="0.3">
      <c r="P947" s="114"/>
    </row>
    <row r="948" spans="2:16" x14ac:dyDescent="0.3">
      <c r="P948" s="90"/>
    </row>
    <row r="949" spans="2:16" x14ac:dyDescent="0.3">
      <c r="P949" s="114"/>
    </row>
    <row r="950" spans="2:16" x14ac:dyDescent="0.3">
      <c r="P950" s="114"/>
    </row>
    <row r="951" spans="2:16" s="14" customFormat="1" x14ac:dyDescent="0.3">
      <c r="B951" s="3"/>
      <c r="C951" s="4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/>
      <c r="O951" s="6"/>
      <c r="P951" s="90"/>
    </row>
    <row r="952" spans="2:16" x14ac:dyDescent="0.3">
      <c r="P952" s="52"/>
    </row>
    <row r="953" spans="2:16" x14ac:dyDescent="0.3">
      <c r="P953" s="52"/>
    </row>
    <row r="954" spans="2:16" x14ac:dyDescent="0.3">
      <c r="P954" s="52"/>
    </row>
    <row r="955" spans="2:16" x14ac:dyDescent="0.3">
      <c r="P955" s="52"/>
    </row>
    <row r="956" spans="2:16" x14ac:dyDescent="0.3">
      <c r="P956" s="52"/>
    </row>
    <row r="957" spans="2:16" x14ac:dyDescent="0.3">
      <c r="P957" s="52"/>
    </row>
    <row r="958" spans="2:16" x14ac:dyDescent="0.3">
      <c r="P958" s="52"/>
    </row>
    <row r="959" spans="2:16" x14ac:dyDescent="0.3">
      <c r="P959" s="52"/>
    </row>
    <row r="960" spans="2:16" x14ac:dyDescent="0.3">
      <c r="P960" s="52"/>
    </row>
    <row r="961" spans="1:16" x14ac:dyDescent="0.3">
      <c r="P961" s="52"/>
    </row>
    <row r="962" spans="1:16" x14ac:dyDescent="0.3">
      <c r="P962" s="52"/>
    </row>
    <row r="963" spans="1:16" x14ac:dyDescent="0.3">
      <c r="P963" s="52"/>
    </row>
    <row r="964" spans="1:16" x14ac:dyDescent="0.3">
      <c r="P964" s="52"/>
    </row>
    <row r="965" spans="1:16" x14ac:dyDescent="0.3">
      <c r="P965" s="52"/>
    </row>
    <row r="966" spans="1:16" s="14" customFormat="1" x14ac:dyDescent="0.3">
      <c r="B966" s="3"/>
      <c r="C966" s="4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/>
      <c r="O966" s="6"/>
      <c r="P966" s="90"/>
    </row>
    <row r="967" spans="1:16" s="14" customFormat="1" x14ac:dyDescent="0.3">
      <c r="A967" s="27"/>
      <c r="B967" s="3"/>
      <c r="C967" s="4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/>
      <c r="O967" s="6"/>
      <c r="P967" s="90"/>
    </row>
    <row r="968" spans="1:16" s="14" customFormat="1" x14ac:dyDescent="0.3">
      <c r="A968" s="27"/>
      <c r="B968" s="3"/>
      <c r="C968" s="4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/>
      <c r="O968" s="6"/>
      <c r="P968" s="52"/>
    </row>
    <row r="969" spans="1:16" s="14" customFormat="1" x14ac:dyDescent="0.3">
      <c r="A969" s="27"/>
      <c r="B969" s="3"/>
      <c r="C969" s="4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/>
      <c r="O969" s="6"/>
      <c r="P969" s="52"/>
    </row>
    <row r="970" spans="1:16" s="14" customFormat="1" x14ac:dyDescent="0.3">
      <c r="A970" s="27"/>
      <c r="B970" s="3"/>
      <c r="C970" s="4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/>
      <c r="O970" s="6"/>
      <c r="P970" s="52"/>
    </row>
    <row r="971" spans="1:16" s="14" customFormat="1" x14ac:dyDescent="0.3">
      <c r="A971" s="27"/>
      <c r="B971" s="3"/>
      <c r="C971" s="4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/>
      <c r="O971" s="6"/>
      <c r="P971" s="90"/>
    </row>
    <row r="972" spans="1:16" s="14" customFormat="1" x14ac:dyDescent="0.3">
      <c r="A972" s="27"/>
      <c r="B972" s="3"/>
      <c r="C972" s="4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/>
      <c r="O972" s="6"/>
      <c r="P972" s="52"/>
    </row>
    <row r="973" spans="1:16" s="14" customFormat="1" x14ac:dyDescent="0.3">
      <c r="A973" s="27"/>
      <c r="B973" s="3"/>
      <c r="C973" s="4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/>
      <c r="O973" s="6"/>
      <c r="P973" s="52"/>
    </row>
    <row r="974" spans="1:16" s="14" customFormat="1" x14ac:dyDescent="0.3">
      <c r="A974" s="27"/>
      <c r="B974" s="3"/>
      <c r="C974" s="4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/>
      <c r="O974" s="6"/>
      <c r="P974" s="52"/>
    </row>
    <row r="975" spans="1:16" s="14" customFormat="1" x14ac:dyDescent="0.3">
      <c r="A975" s="27"/>
      <c r="B975" s="3"/>
      <c r="C975" s="4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/>
      <c r="O975" s="6"/>
      <c r="P975" s="52"/>
    </row>
    <row r="976" spans="1:16" s="14" customFormat="1" x14ac:dyDescent="0.3">
      <c r="A976" s="27"/>
      <c r="B976" s="3"/>
      <c r="C976" s="4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/>
      <c r="O976" s="6"/>
      <c r="P976" s="114"/>
    </row>
    <row r="977" spans="1:16" s="14" customFormat="1" x14ac:dyDescent="0.3">
      <c r="A977" s="27"/>
      <c r="B977" s="3"/>
      <c r="C977" s="4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/>
      <c r="O977" s="6"/>
      <c r="P977" s="114"/>
    </row>
    <row r="978" spans="1:16" s="14" customFormat="1" x14ac:dyDescent="0.3">
      <c r="A978" s="27"/>
      <c r="B978" s="3"/>
      <c r="C978" s="4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/>
      <c r="O978" s="6"/>
      <c r="P978" s="52"/>
    </row>
    <row r="979" spans="1:16" s="14" customFormat="1" x14ac:dyDescent="0.3">
      <c r="B979" s="3"/>
      <c r="C979" s="4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/>
      <c r="O979" s="6"/>
      <c r="P979" s="90"/>
    </row>
    <row r="980" spans="1:16" s="14" customFormat="1" x14ac:dyDescent="0.3">
      <c r="B980" s="3"/>
      <c r="C980" s="4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/>
      <c r="O980" s="6"/>
      <c r="P980" s="52"/>
    </row>
    <row r="981" spans="1:16" x14ac:dyDescent="0.3">
      <c r="P981" s="52"/>
    </row>
    <row r="982" spans="1:16" x14ac:dyDescent="0.3">
      <c r="P982" s="52"/>
    </row>
    <row r="983" spans="1:16" x14ac:dyDescent="0.3">
      <c r="P983" s="52"/>
    </row>
    <row r="984" spans="1:16" x14ac:dyDescent="0.3">
      <c r="P984" s="114"/>
    </row>
    <row r="985" spans="1:16" x14ac:dyDescent="0.3">
      <c r="P985" s="52"/>
    </row>
    <row r="986" spans="1:16" x14ac:dyDescent="0.3">
      <c r="P986" s="52"/>
    </row>
    <row r="987" spans="1:16" x14ac:dyDescent="0.3">
      <c r="P987" s="90"/>
    </row>
    <row r="988" spans="1:16" x14ac:dyDescent="0.3">
      <c r="P988" s="114"/>
    </row>
    <row r="989" spans="1:16" x14ac:dyDescent="0.3">
      <c r="P989" s="114"/>
    </row>
    <row r="990" spans="1:16" x14ac:dyDescent="0.3">
      <c r="P990" s="114"/>
    </row>
    <row r="991" spans="1:16" x14ac:dyDescent="0.3">
      <c r="P991" s="114"/>
    </row>
    <row r="992" spans="1:16" x14ac:dyDescent="0.3">
      <c r="P992" s="114"/>
    </row>
    <row r="993" spans="16:16" s="5" customFormat="1" x14ac:dyDescent="0.3">
      <c r="P993" s="114"/>
    </row>
    <row r="994" spans="16:16" s="5" customFormat="1" x14ac:dyDescent="0.3">
      <c r="P994" s="114"/>
    </row>
    <row r="995" spans="16:16" s="5" customFormat="1" x14ac:dyDescent="0.3">
      <c r="P995" s="114"/>
    </row>
    <row r="996" spans="16:16" s="5" customFormat="1" x14ac:dyDescent="0.3">
      <c r="P996" s="114"/>
    </row>
    <row r="997" spans="16:16" s="5" customFormat="1" x14ac:dyDescent="0.3">
      <c r="P997" s="114"/>
    </row>
    <row r="998" spans="16:16" s="5" customFormat="1" x14ac:dyDescent="0.3">
      <c r="P998" s="114"/>
    </row>
    <row r="999" spans="16:16" s="5" customFormat="1" x14ac:dyDescent="0.3">
      <c r="P999" s="114"/>
    </row>
    <row r="1000" spans="16:16" s="5" customFormat="1" x14ac:dyDescent="0.3">
      <c r="P1000" s="114"/>
    </row>
    <row r="1001" spans="16:16" s="5" customFormat="1" x14ac:dyDescent="0.3">
      <c r="P1001" s="114"/>
    </row>
    <row r="1002" spans="16:16" s="5" customFormat="1" x14ac:dyDescent="0.3">
      <c r="P1002" s="114"/>
    </row>
    <row r="1003" spans="16:16" s="5" customFormat="1" x14ac:dyDescent="0.3">
      <c r="P1003" s="114"/>
    </row>
    <row r="1004" spans="16:16" s="5" customFormat="1" x14ac:dyDescent="0.3">
      <c r="P1004" s="114"/>
    </row>
    <row r="1005" spans="16:16" s="5" customFormat="1" x14ac:dyDescent="0.3">
      <c r="P1005" s="114"/>
    </row>
    <row r="1006" spans="16:16" s="5" customFormat="1" x14ac:dyDescent="0.3">
      <c r="P1006" s="114"/>
    </row>
    <row r="1007" spans="16:16" s="5" customFormat="1" x14ac:dyDescent="0.3">
      <c r="P1007" s="114"/>
    </row>
    <row r="1008" spans="16:16" s="5" customFormat="1" x14ac:dyDescent="0.3">
      <c r="P1008" s="114"/>
    </row>
    <row r="1009" spans="16:16" s="5" customFormat="1" x14ac:dyDescent="0.3">
      <c r="P1009" s="114"/>
    </row>
    <row r="1010" spans="16:16" s="5" customFormat="1" x14ac:dyDescent="0.3">
      <c r="P1010" s="114"/>
    </row>
    <row r="1011" spans="16:16" s="5" customFormat="1" x14ac:dyDescent="0.3">
      <c r="P1011" s="114"/>
    </row>
    <row r="1012" spans="16:16" s="5" customFormat="1" x14ac:dyDescent="0.3">
      <c r="P1012" s="114"/>
    </row>
    <row r="1013" spans="16:16" s="5" customFormat="1" x14ac:dyDescent="0.3">
      <c r="P1013" s="114"/>
    </row>
    <row r="1014" spans="16:16" s="5" customFormat="1" x14ac:dyDescent="0.3">
      <c r="P1014" s="114"/>
    </row>
    <row r="1015" spans="16:16" s="5" customFormat="1" x14ac:dyDescent="0.3">
      <c r="P1015" s="114"/>
    </row>
    <row r="1016" spans="16:16" s="5" customFormat="1" x14ac:dyDescent="0.3">
      <c r="P1016" s="114"/>
    </row>
    <row r="1017" spans="16:16" s="5" customFormat="1" x14ac:dyDescent="0.3">
      <c r="P1017" s="114"/>
    </row>
    <row r="1018" spans="16:16" s="5" customFormat="1" x14ac:dyDescent="0.3">
      <c r="P1018" s="114"/>
    </row>
    <row r="1019" spans="16:16" s="5" customFormat="1" x14ac:dyDescent="0.3">
      <c r="P1019" s="114"/>
    </row>
    <row r="1020" spans="16:16" s="5" customFormat="1" x14ac:dyDescent="0.3">
      <c r="P1020" s="114"/>
    </row>
    <row r="1021" spans="16:16" s="5" customFormat="1" x14ac:dyDescent="0.3">
      <c r="P1021" s="114"/>
    </row>
    <row r="1022" spans="16:16" s="5" customFormat="1" x14ac:dyDescent="0.3">
      <c r="P1022" s="114"/>
    </row>
    <row r="1023" spans="16:16" s="5" customFormat="1" x14ac:dyDescent="0.3">
      <c r="P1023" s="114"/>
    </row>
    <row r="1024" spans="16:16" s="5" customFormat="1" x14ac:dyDescent="0.3">
      <c r="P1024" s="114"/>
    </row>
    <row r="1025" spans="2:16" x14ac:dyDescent="0.3">
      <c r="P1025" s="114"/>
    </row>
    <row r="1026" spans="2:16" x14ac:dyDescent="0.3">
      <c r="P1026" s="114"/>
    </row>
    <row r="1027" spans="2:16" x14ac:dyDescent="0.3">
      <c r="P1027" s="114"/>
    </row>
    <row r="1028" spans="2:16" x14ac:dyDescent="0.3">
      <c r="P1028" s="114"/>
    </row>
    <row r="1029" spans="2:16" x14ac:dyDescent="0.3">
      <c r="P1029" s="114"/>
    </row>
    <row r="1030" spans="2:16" x14ac:dyDescent="0.3">
      <c r="P1030" s="114"/>
    </row>
    <row r="1031" spans="2:16" x14ac:dyDescent="0.3">
      <c r="P1031" s="114"/>
    </row>
    <row r="1032" spans="2:16" s="14" customFormat="1" x14ac:dyDescent="0.3">
      <c r="B1032" s="3"/>
      <c r="C1032" s="4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/>
      <c r="O1032" s="6"/>
      <c r="P1032" s="90"/>
    </row>
    <row r="1033" spans="2:16" s="14" customFormat="1" x14ac:dyDescent="0.3">
      <c r="B1033" s="3"/>
      <c r="C1033" s="4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/>
      <c r="O1033" s="6"/>
      <c r="P1033" s="114"/>
    </row>
    <row r="1034" spans="2:16" s="14" customFormat="1" x14ac:dyDescent="0.3">
      <c r="B1034" s="3"/>
      <c r="C1034" s="4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/>
      <c r="O1034" s="6"/>
      <c r="P1034" s="114"/>
    </row>
    <row r="1035" spans="2:16" s="14" customFormat="1" x14ac:dyDescent="0.3">
      <c r="B1035" s="3"/>
      <c r="C1035" s="4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/>
      <c r="O1035" s="6"/>
      <c r="P1035" s="114"/>
    </row>
    <row r="1036" spans="2:16" s="14" customFormat="1" x14ac:dyDescent="0.3">
      <c r="B1036" s="3"/>
      <c r="C1036" s="4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/>
      <c r="O1036" s="6"/>
      <c r="P1036" s="114"/>
    </row>
    <row r="1037" spans="2:16" s="14" customFormat="1" x14ac:dyDescent="0.3">
      <c r="B1037" s="3"/>
      <c r="C1037" s="4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/>
      <c r="O1037" s="6"/>
      <c r="P1037" s="114"/>
    </row>
    <row r="1038" spans="2:16" s="14" customFormat="1" x14ac:dyDescent="0.3">
      <c r="B1038" s="3"/>
      <c r="C1038" s="4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/>
      <c r="O1038" s="6"/>
      <c r="P1038" s="114"/>
    </row>
    <row r="1039" spans="2:16" s="14" customFormat="1" x14ac:dyDescent="0.3">
      <c r="B1039" s="3"/>
      <c r="C1039" s="4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/>
      <c r="O1039" s="6"/>
      <c r="P1039" s="114"/>
    </row>
    <row r="1040" spans="2:16" s="14" customFormat="1" x14ac:dyDescent="0.3">
      <c r="B1040" s="3"/>
      <c r="C1040" s="4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/>
      <c r="O1040" s="6"/>
      <c r="P1040" s="114"/>
    </row>
    <row r="1041" spans="2:16" s="14" customFormat="1" x14ac:dyDescent="0.3">
      <c r="B1041" s="3"/>
      <c r="C1041" s="4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/>
      <c r="O1041" s="6"/>
      <c r="P1041" s="114"/>
    </row>
    <row r="1042" spans="2:16" s="14" customFormat="1" x14ac:dyDescent="0.3">
      <c r="B1042" s="3"/>
      <c r="C1042" s="4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/>
      <c r="O1042" s="6"/>
      <c r="P1042" s="114"/>
    </row>
    <row r="1043" spans="2:16" s="14" customFormat="1" x14ac:dyDescent="0.3">
      <c r="B1043" s="3"/>
      <c r="C1043" s="4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/>
      <c r="O1043" s="6"/>
      <c r="P1043" s="114"/>
    </row>
    <row r="1044" spans="2:16" s="14" customFormat="1" x14ac:dyDescent="0.3">
      <c r="B1044" s="3"/>
      <c r="C1044" s="4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/>
      <c r="O1044" s="6"/>
      <c r="P1044" s="114"/>
    </row>
    <row r="1045" spans="2:16" s="14" customFormat="1" x14ac:dyDescent="0.3">
      <c r="B1045" s="3"/>
      <c r="C1045" s="4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/>
      <c r="O1045" s="6"/>
      <c r="P1045" s="114"/>
    </row>
    <row r="1046" spans="2:16" s="14" customFormat="1" x14ac:dyDescent="0.3">
      <c r="B1046" s="3"/>
      <c r="C1046" s="4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/>
      <c r="O1046" s="6"/>
      <c r="P1046" s="114"/>
    </row>
    <row r="1047" spans="2:16" s="14" customFormat="1" x14ac:dyDescent="0.3">
      <c r="B1047" s="3"/>
      <c r="C1047" s="4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/>
      <c r="O1047" s="6"/>
      <c r="P1047" s="114"/>
    </row>
    <row r="1048" spans="2:16" s="14" customFormat="1" x14ac:dyDescent="0.3">
      <c r="B1048" s="3"/>
      <c r="C1048" s="4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/>
      <c r="O1048" s="6"/>
      <c r="P1048" s="114"/>
    </row>
    <row r="1049" spans="2:16" s="14" customFormat="1" x14ac:dyDescent="0.3">
      <c r="B1049" s="3"/>
      <c r="C1049" s="4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/>
      <c r="O1049" s="6"/>
      <c r="P1049" s="90"/>
    </row>
    <row r="1050" spans="2:16" s="14" customFormat="1" x14ac:dyDescent="0.3">
      <c r="B1050" s="3"/>
      <c r="C1050" s="4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/>
      <c r="O1050" s="6"/>
      <c r="P1050" s="90"/>
    </row>
    <row r="1051" spans="2:16" s="14" customFormat="1" x14ac:dyDescent="0.3">
      <c r="B1051" s="3"/>
      <c r="C1051" s="4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/>
      <c r="O1051" s="6"/>
      <c r="P1051" s="90"/>
    </row>
    <row r="1052" spans="2:16" s="14" customFormat="1" x14ac:dyDescent="0.3">
      <c r="B1052" s="3"/>
      <c r="C1052" s="4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/>
      <c r="O1052" s="6"/>
      <c r="P1052" s="90"/>
    </row>
    <row r="1053" spans="2:16" s="14" customFormat="1" x14ac:dyDescent="0.3">
      <c r="B1053" s="3"/>
      <c r="C1053" s="4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/>
      <c r="O1053" s="6"/>
      <c r="P1053" s="90"/>
    </row>
    <row r="1054" spans="2:16" s="14" customFormat="1" x14ac:dyDescent="0.3">
      <c r="B1054" s="3"/>
      <c r="C1054" s="4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/>
      <c r="O1054" s="6"/>
      <c r="P1054" s="90"/>
    </row>
    <row r="1055" spans="2:16" s="14" customFormat="1" x14ac:dyDescent="0.3">
      <c r="B1055" s="3"/>
      <c r="C1055" s="4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/>
      <c r="O1055" s="6"/>
      <c r="P1055" s="90"/>
    </row>
    <row r="1056" spans="2:16" s="14" customFormat="1" x14ac:dyDescent="0.3">
      <c r="B1056" s="3"/>
      <c r="C1056" s="4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/>
      <c r="O1056" s="6"/>
      <c r="P1056" s="90"/>
    </row>
    <row r="1057" spans="2:16" s="14" customFormat="1" x14ac:dyDescent="0.3">
      <c r="B1057" s="3"/>
      <c r="C1057" s="4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/>
      <c r="O1057" s="6"/>
      <c r="P1057" s="90"/>
    </row>
    <row r="1058" spans="2:16" s="14" customFormat="1" x14ac:dyDescent="0.3">
      <c r="B1058" s="3"/>
      <c r="C1058" s="4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/>
      <c r="O1058" s="6"/>
      <c r="P1058" s="90"/>
    </row>
    <row r="1059" spans="2:16" s="14" customFormat="1" x14ac:dyDescent="0.3">
      <c r="B1059" s="3"/>
      <c r="C1059" s="4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/>
      <c r="O1059" s="6"/>
      <c r="P1059" s="114"/>
    </row>
    <row r="1060" spans="2:16" s="14" customFormat="1" x14ac:dyDescent="0.3">
      <c r="B1060" s="3"/>
      <c r="C1060" s="4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/>
      <c r="O1060" s="6"/>
      <c r="P1060" s="90"/>
    </row>
    <row r="1061" spans="2:16" x14ac:dyDescent="0.3">
      <c r="P1061" s="114"/>
    </row>
    <row r="1062" spans="2:16" x14ac:dyDescent="0.3">
      <c r="P1062" s="114"/>
    </row>
    <row r="1063" spans="2:16" x14ac:dyDescent="0.3">
      <c r="P1063" s="52"/>
    </row>
    <row r="1064" spans="2:16" x14ac:dyDescent="0.3">
      <c r="P1064" s="80"/>
    </row>
    <row r="1065" spans="2:16" x14ac:dyDescent="0.3">
      <c r="P1065" s="114"/>
    </row>
    <row r="1066" spans="2:16" x14ac:dyDescent="0.3">
      <c r="P1066" s="52"/>
    </row>
    <row r="1067" spans="2:16" x14ac:dyDescent="0.3">
      <c r="P1067" s="90"/>
    </row>
    <row r="1068" spans="2:16" x14ac:dyDescent="0.3">
      <c r="P1068" s="52"/>
    </row>
    <row r="1069" spans="2:16" x14ac:dyDescent="0.3">
      <c r="P1069" s="80"/>
    </row>
    <row r="1070" spans="2:16" x14ac:dyDescent="0.3">
      <c r="P1070" s="80"/>
    </row>
    <row r="1071" spans="2:16" x14ac:dyDescent="0.3">
      <c r="P1071" s="52"/>
    </row>
    <row r="1072" spans="2:16" s="14" customFormat="1" x14ac:dyDescent="0.3">
      <c r="B1072" s="3"/>
      <c r="C1072" s="4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/>
      <c r="O1072" s="6"/>
      <c r="P1072" s="90"/>
    </row>
    <row r="1073" spans="2:16" s="14" customFormat="1" x14ac:dyDescent="0.3">
      <c r="B1073" s="3"/>
      <c r="C1073" s="4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/>
      <c r="O1073" s="6"/>
      <c r="P1073" s="52"/>
    </row>
    <row r="1074" spans="2:16" s="14" customFormat="1" x14ac:dyDescent="0.3">
      <c r="B1074" s="3"/>
      <c r="C1074" s="4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/>
      <c r="O1074" s="6"/>
      <c r="P1074" s="52"/>
    </row>
    <row r="1075" spans="2:16" s="14" customFormat="1" x14ac:dyDescent="0.3">
      <c r="B1075" s="3"/>
      <c r="C1075" s="4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/>
      <c r="O1075" s="6"/>
      <c r="P1075" s="52"/>
    </row>
    <row r="1076" spans="2:16" s="14" customFormat="1" x14ac:dyDescent="0.3">
      <c r="B1076" s="3"/>
      <c r="C1076" s="4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/>
      <c r="O1076" s="6"/>
      <c r="P1076" s="52"/>
    </row>
    <row r="1077" spans="2:16" x14ac:dyDescent="0.3">
      <c r="P1077" s="80"/>
    </row>
    <row r="1078" spans="2:16" x14ac:dyDescent="0.3">
      <c r="P1078" s="52"/>
    </row>
    <row r="1079" spans="2:16" x14ac:dyDescent="0.3">
      <c r="P1079" s="80"/>
    </row>
    <row r="1080" spans="2:16" x14ac:dyDescent="0.3">
      <c r="P1080" s="80"/>
    </row>
    <row r="1081" spans="2:16" x14ac:dyDescent="0.3">
      <c r="P1081" s="80"/>
    </row>
    <row r="1082" spans="2:16" x14ac:dyDescent="0.3">
      <c r="P1082" s="52"/>
    </row>
    <row r="1083" spans="2:16" x14ac:dyDescent="0.3">
      <c r="P1083" s="80"/>
    </row>
    <row r="1084" spans="2:16" x14ac:dyDescent="0.3">
      <c r="P1084" s="80"/>
    </row>
    <row r="1085" spans="2:16" x14ac:dyDescent="0.3">
      <c r="P1085" s="52"/>
    </row>
    <row r="1086" spans="2:16" x14ac:dyDescent="0.3">
      <c r="P1086" s="52"/>
    </row>
    <row r="1087" spans="2:16" x14ac:dyDescent="0.3">
      <c r="P1087" s="90"/>
    </row>
    <row r="1088" spans="2:16" x14ac:dyDescent="0.3">
      <c r="P1088" s="90"/>
    </row>
    <row r="1089" spans="16:16" s="5" customFormat="1" x14ac:dyDescent="0.3">
      <c r="P1089" s="80"/>
    </row>
    <row r="1090" spans="16:16" s="5" customFormat="1" x14ac:dyDescent="0.3">
      <c r="P1090" s="80"/>
    </row>
    <row r="1091" spans="16:16" s="5" customFormat="1" x14ac:dyDescent="0.3">
      <c r="P1091" s="80"/>
    </row>
    <row r="1092" spans="16:16" s="5" customFormat="1" x14ac:dyDescent="0.3">
      <c r="P1092" s="80"/>
    </row>
    <row r="1093" spans="16:16" s="5" customFormat="1" x14ac:dyDescent="0.3">
      <c r="P1093" s="52"/>
    </row>
    <row r="1094" spans="16:16" s="5" customFormat="1" x14ac:dyDescent="0.3">
      <c r="P1094" s="80"/>
    </row>
    <row r="1095" spans="16:16" s="5" customFormat="1" x14ac:dyDescent="0.3">
      <c r="P1095" s="80"/>
    </row>
    <row r="1096" spans="16:16" s="5" customFormat="1" x14ac:dyDescent="0.3">
      <c r="P1096" s="80"/>
    </row>
    <row r="1097" spans="16:16" s="5" customFormat="1" x14ac:dyDescent="0.3">
      <c r="P1097" s="80"/>
    </row>
    <row r="1098" spans="16:16" s="5" customFormat="1" x14ac:dyDescent="0.3">
      <c r="P1098" s="80"/>
    </row>
    <row r="1099" spans="16:16" s="5" customFormat="1" x14ac:dyDescent="0.3">
      <c r="P1099" s="80"/>
    </row>
    <row r="1100" spans="16:16" s="5" customFormat="1" x14ac:dyDescent="0.3">
      <c r="P1100" s="80"/>
    </row>
    <row r="1101" spans="16:16" s="5" customFormat="1" x14ac:dyDescent="0.3">
      <c r="P1101" s="7"/>
    </row>
    <row r="1102" spans="16:16" s="5" customFormat="1" x14ac:dyDescent="0.3"/>
    <row r="1103" spans="16:16" s="5" customFormat="1" x14ac:dyDescent="0.3"/>
    <row r="1104" spans="16:16" s="5" customFormat="1" x14ac:dyDescent="0.3"/>
    <row r="1105" s="5" customFormat="1" x14ac:dyDescent="0.3"/>
    <row r="1106" s="5" customFormat="1" x14ac:dyDescent="0.3"/>
    <row r="1107" s="5" customFormat="1" x14ac:dyDescent="0.3"/>
  </sheetData>
  <protectedRanges>
    <protectedRange sqref="B2:O6" name="Диапазон17"/>
    <protectedRange sqref="D86:D87" name="Диапазон15"/>
    <protectedRange sqref="E298:M300 E302:M303 E305:E307 E309:E310 K307 K309:K310 D312:D314 E315:M315 E317:M317 E319:M324 E327:M330 E332:M333 G334 M334 E335:M336 E338:M339 G340 M340 E341:M342 G343 M343 E344" name="Диапазон13"/>
    <protectedRange sqref="E154:M159 E161:M164 E166:M170 M171 E172:M181 E182 K182 E185:M201 E203:M211 D212 G214:G216 L217 F219:G221 E222 F223:G223 E224 F225:G228 E229:K229 E230:M243 E247:E250 E252:E253 F254" name="Диапазон11"/>
    <protectedRange sqref="E10:M12 D14:D20 E22:M24 E27:M34 E36:M45 E47:E50 H47:K50 E53:E57 E59:E62 E64:M67 L68:M69 H72:K74 F72:F74 G73:G74 E76:E77 M79:M81 E88 H88:I88 E90:M90 I92:I93 M93" name="Диапазон8"/>
    <protectedRange sqref="E462:M471 E456:M460 E450:M454 E443:M448 E437:M441 E431:M435 E421:M428" name="Диапазон6"/>
    <protectedRange sqref="L890 E670:M670 E660:M668 E650:M658 E636:M648 E632:M634 E625:M629 E622:M623 E614:M620 E608:M612 E604:M606 E600:M602 E591:M597 E587:M589 E583:M585 E580:M580 E577:M578 E573:M575 E565" name="Диапазон4"/>
    <protectedRange sqref="E771:M773 E765:M769 E756:M762 E751:M754 E747:M749 E742:M745 E731:M739 E721:M729 E711:M719 E701:M709 E691:M699 E681:M689 E672:M679" name="Диапазон3"/>
    <protectedRange sqref="E823:M825 L818:M818 E819:M820 F816:J816 E817 L814:M814 F812:J812 E813 E808:M810 E803:M806 E799:M801 E793:M797 E784:M791 F783:G783 E775:M778" name="Диапазон2"/>
    <protectedRange sqref="E892:M896 E887:M890 E880:M885 E875:M878 E871:M872 E867:M869 E861:M865 E852:M859 E849:M850 E846:M847 E843:M844 E840:M841 E837:M838 L833:M833 F831:J831 E832 L829:M829 F827:J827 E828 E823:M825 E819:M820 L818:M818 F816:J816 E817 L814:M814 E813 F812:J812 E808" name="Диапазон1"/>
    <protectedRange sqref="E565:M571 E554:M563 E547:M552 E540:M544 E533:M537 E530:M531 E523:M527 E520:M521 E503:M507 E500:M501 K490:K491 K493:K497 E493:E497 E490:E491 E483:M487 E480:M481 E473:M476" name="Диапазон5"/>
    <protectedRange sqref="E410:M419 E404:M407 E399:M402 F390:G390 F393:G393 M391 M394 E381:M387 E379:M379 E371:E372 F373:G373 K372 L373:L374 F371:M371 E368:M369 D375:D377 E362:M366 E358:M360" name="Диапазон7"/>
    <protectedRange sqref="E95:M102 D104:D105 E108:I108 K108:M108 D109:D113 E114:I114 K114:M114 D116:D132 E134:M137 E140:M140 E143:E145 F144:M145 M142:M143 F142:K142 H143:J143 G146 E147:M149 E151:M152 E154" name="Диапазон9"/>
    <protectedRange sqref="E95:M102" name="Диапазон10"/>
    <protectedRange sqref="E247:E250 E252:E253 F254:G254 K247:K250 K252:K253 E256:M256 E258:M260 E262:E263 K262:K263 E265:M267 E269:E271 K269:K271 E273:M278 E280:M285 E287:M289 F291:G291 E292:M296" name="Диапазон12"/>
    <protectedRange sqref="G343 M343 E344:M344 M345 G345 F346:G346 E348:M349 G350 M350 E351:M352 G353 M353 E354:M354 M355 G355:G356 F356 E358:M360 E362:M366" name="Диапазон14"/>
    <protectedRange sqref="H899:O906" name="Диапазон16"/>
  </protectedRanges>
  <mergeCells count="22">
    <mergeCell ref="C899:G899"/>
    <mergeCell ref="H899:O899"/>
    <mergeCell ref="I3:O3"/>
    <mergeCell ref="B4:O4"/>
    <mergeCell ref="D5:K5"/>
    <mergeCell ref="D6:K6"/>
    <mergeCell ref="B898:O898"/>
    <mergeCell ref="C900:G900"/>
    <mergeCell ref="H900:O900"/>
    <mergeCell ref="C901:G901"/>
    <mergeCell ref="H901:O901"/>
    <mergeCell ref="C902:G902"/>
    <mergeCell ref="H902:O902"/>
    <mergeCell ref="C906:G906"/>
    <mergeCell ref="H906:O906"/>
    <mergeCell ref="B907:O907"/>
    <mergeCell ref="C903:G903"/>
    <mergeCell ref="H903:O903"/>
    <mergeCell ref="C904:G904"/>
    <mergeCell ref="H904:O904"/>
    <mergeCell ref="C905:G905"/>
    <mergeCell ref="H905:O905"/>
  </mergeCells>
  <conditionalFormatting sqref="E22">
    <cfRule type="expression" dxfId="1" priority="1">
      <formula>"e13&gt;e$9"</formula>
    </cfRule>
    <cfRule type="cellIs" dxfId="0" priority="2" operator="greaterThan">
      <formula>"e9"</formula>
    </cfRule>
  </conditionalFormatting>
  <pageMargins left="0.7" right="0.7" top="0.75" bottom="0.75" header="0.3" footer="0.3"/>
  <pageSetup paperSize="9" scale="2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2025-01-23T06:50:25Z</dcterms:modified>
</cp:coreProperties>
</file>